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ti.sharepoint.com/sites/Census2020/Shared Documents/Task 5/"/>
    </mc:Choice>
  </mc:AlternateContent>
  <xr:revisionPtr revIDLastSave="0" documentId="8_{852A52DB-2F5D-464C-A0DF-92DABE2D8A16}" xr6:coauthVersionLast="47" xr6:coauthVersionMax="47" xr10:uidLastSave="{00000000-0000-0000-0000-000000000000}"/>
  <bookViews>
    <workbookView xWindow="-120" yWindow="-120" windowWidth="29040" windowHeight="15840" xr2:uid="{CECBC8DD-BAD1-4DC7-933C-33BA337FB691}"/>
  </bookViews>
  <sheets>
    <sheet name="New UZAs" sheetId="1" r:id="rId1"/>
    <sheet name="New UZA Analyses" sheetId="4" r:id="rId2"/>
    <sheet name="Average Calc New UZAs" sheetId="6" r:id="rId3"/>
    <sheet name="Removed UZAs (now rural)" sheetId="3" r:id="rId4"/>
    <sheet name="Texas UZAs Detail" sheetId="7" r:id="rId5"/>
    <sheet name="States States" sheetId="2" r:id="rId6"/>
    <sheet name="APTL Reference" sheetId="5" r:id="rId7"/>
    <sheet name="Lake Tahoe Calculation" sheetId="8" r:id="rId8"/>
  </sheets>
  <definedNames>
    <definedName name="_xlnm._FilterDatabase" localSheetId="5" hidden="1">'States States'!$A$2:$G$58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8" l="1"/>
  <c r="T18" i="8"/>
  <c r="T17" i="8"/>
  <c r="S17" i="8"/>
  <c r="C18" i="8"/>
  <c r="Z18" i="8" s="1"/>
  <c r="C17" i="8"/>
  <c r="Z17" i="8"/>
  <c r="R18" i="8"/>
  <c r="R17" i="8"/>
  <c r="Q17" i="8"/>
  <c r="Q18" i="8"/>
  <c r="K17" i="8"/>
  <c r="L17" i="8"/>
  <c r="M17" i="8"/>
  <c r="N17" i="8"/>
  <c r="O17" i="8"/>
  <c r="P17" i="8"/>
  <c r="K18" i="8"/>
  <c r="L18" i="8"/>
  <c r="M18" i="8"/>
  <c r="N18" i="8"/>
  <c r="O18" i="8"/>
  <c r="P18" i="8"/>
  <c r="J18" i="8"/>
  <c r="J17" i="8"/>
  <c r="H17" i="8"/>
  <c r="I17" i="8"/>
  <c r="H18" i="8"/>
  <c r="I18" i="8"/>
  <c r="G18" i="8"/>
  <c r="G17" i="8"/>
  <c r="F18" i="8"/>
  <c r="F17" i="8"/>
  <c r="E18" i="8"/>
  <c r="E17" i="8"/>
  <c r="D17" i="8"/>
  <c r="F6" i="8"/>
  <c r="G6" i="8"/>
  <c r="H6" i="8"/>
  <c r="I6" i="8"/>
  <c r="F3" i="8"/>
  <c r="G3" i="8"/>
  <c r="H3" i="8"/>
  <c r="I3" i="8"/>
  <c r="F4" i="8"/>
  <c r="F5" i="8" s="1"/>
  <c r="G4" i="8"/>
  <c r="G5" i="8" s="1"/>
  <c r="H4" i="8"/>
  <c r="H5" i="8" s="1"/>
  <c r="I4" i="8"/>
  <c r="I5" i="8" s="1"/>
  <c r="E6" i="8"/>
  <c r="E5" i="8"/>
  <c r="E4" i="8"/>
  <c r="E3" i="8"/>
  <c r="C5" i="8"/>
  <c r="D18" i="8"/>
  <c r="Z12" i="8"/>
  <c r="Z11" i="8"/>
  <c r="T12" i="8"/>
  <c r="R12" i="8"/>
  <c r="C8" i="8"/>
  <c r="C7" i="8"/>
  <c r="G28" i="1"/>
  <c r="P24" i="7" l="1"/>
  <c r="O25" i="7"/>
  <c r="O24" i="7"/>
  <c r="O26" i="7" s="1"/>
  <c r="N26" i="7"/>
  <c r="N25" i="7"/>
  <c r="N24" i="7"/>
  <c r="M24" i="7"/>
  <c r="M26" i="7" s="1"/>
  <c r="M25" i="7"/>
  <c r="L25" i="7"/>
  <c r="L24" i="7"/>
  <c r="L26" i="7" s="1"/>
  <c r="K24" i="7"/>
  <c r="K25" i="7"/>
  <c r="I24" i="7"/>
  <c r="J24" i="7"/>
  <c r="I25" i="7"/>
  <c r="J25" i="7"/>
  <c r="H25" i="7"/>
  <c r="H24" i="7"/>
  <c r="G24" i="7"/>
  <c r="G25" i="7"/>
  <c r="F25" i="7"/>
  <c r="F24" i="7"/>
  <c r="D27" i="7" l="1"/>
  <c r="E26" i="7"/>
  <c r="E27" i="7" s="1"/>
  <c r="D26" i="7"/>
  <c r="Q24" i="7"/>
  <c r="Q26" i="7" s="1"/>
  <c r="Q27" i="7" s="1"/>
  <c r="P26" i="7"/>
  <c r="P27" i="7" s="1"/>
  <c r="O27" i="7"/>
  <c r="N27" i="7"/>
  <c r="I26" i="7"/>
  <c r="I27" i="7" s="1"/>
  <c r="H26" i="7"/>
  <c r="H27" i="7" s="1"/>
  <c r="G26" i="7"/>
  <c r="G27" i="7" s="1"/>
  <c r="F26" i="7"/>
  <c r="F27" i="7" s="1"/>
  <c r="K11" i="7"/>
  <c r="E13" i="7"/>
  <c r="F13" i="7"/>
  <c r="G13" i="7"/>
  <c r="H13" i="7"/>
  <c r="I13" i="7"/>
  <c r="J13" i="7"/>
  <c r="L13" i="7"/>
  <c r="M13" i="7"/>
  <c r="N13" i="7"/>
  <c r="O13" i="7"/>
  <c r="P13" i="7"/>
  <c r="Q13" i="7"/>
  <c r="D13" i="7"/>
  <c r="Q12" i="7"/>
  <c r="P12" i="7"/>
  <c r="Q10" i="7"/>
  <c r="P10" i="7"/>
  <c r="O10" i="7"/>
  <c r="O12" i="7" s="1"/>
  <c r="O11" i="7"/>
  <c r="N11" i="7"/>
  <c r="N10" i="7"/>
  <c r="N12" i="7" s="1"/>
  <c r="M10" i="7"/>
  <c r="M11" i="7"/>
  <c r="M12" i="7"/>
  <c r="L11" i="7"/>
  <c r="L10" i="7"/>
  <c r="L12" i="7" s="1"/>
  <c r="K12" i="7"/>
  <c r="K13" i="7" s="1"/>
  <c r="K10" i="7"/>
  <c r="I12" i="7"/>
  <c r="J12" i="7"/>
  <c r="H12" i="7"/>
  <c r="I10" i="7"/>
  <c r="J10" i="7"/>
  <c r="I11" i="7"/>
  <c r="J11" i="7"/>
  <c r="H11" i="7"/>
  <c r="H10" i="7"/>
  <c r="G12" i="7"/>
  <c r="G10" i="7"/>
  <c r="G11" i="7"/>
  <c r="F12" i="7"/>
  <c r="F11" i="7"/>
  <c r="F10" i="7"/>
  <c r="E12" i="7"/>
  <c r="D12" i="7"/>
  <c r="J3" i="1"/>
  <c r="J26" i="7" l="1"/>
  <c r="J27" i="7" s="1"/>
  <c r="K26" i="7"/>
  <c r="K27" i="7" s="1"/>
  <c r="L27" i="7"/>
  <c r="M27" i="7"/>
  <c r="L25" i="6"/>
  <c r="M25" i="6"/>
  <c r="N25" i="6"/>
  <c r="O25" i="6"/>
  <c r="P25" i="6"/>
  <c r="L26" i="6"/>
  <c r="M26" i="6"/>
  <c r="N26" i="6"/>
  <c r="O26" i="6"/>
  <c r="P26" i="6"/>
  <c r="K26" i="6"/>
  <c r="K25" i="6"/>
  <c r="I25" i="6"/>
  <c r="I26" i="6"/>
  <c r="D25" i="6"/>
  <c r="E25" i="6"/>
  <c r="F25" i="6"/>
  <c r="G25" i="6"/>
  <c r="H25" i="6"/>
  <c r="D26" i="6"/>
  <c r="E26" i="6"/>
  <c r="F26" i="6"/>
  <c r="G26" i="6"/>
  <c r="H26" i="6"/>
  <c r="C26" i="6"/>
  <c r="C25" i="6"/>
  <c r="L445" i="4"/>
  <c r="J445" i="4"/>
  <c r="E445" i="4"/>
  <c r="N439" i="4"/>
  <c r="N445" i="4" s="1"/>
  <c r="M439" i="4"/>
  <c r="R439" i="4" s="1"/>
  <c r="L439" i="4"/>
  <c r="I439" i="4"/>
  <c r="I445" i="4" s="1"/>
  <c r="H439" i="4"/>
  <c r="H445" i="4" s="1"/>
  <c r="G439" i="4"/>
  <c r="G445" i="4" s="1"/>
  <c r="F439" i="4"/>
  <c r="F445" i="4" s="1"/>
  <c r="E439" i="4"/>
  <c r="Q439" i="4" s="1"/>
  <c r="D439" i="4"/>
  <c r="D445" i="4" s="1"/>
  <c r="C439" i="4"/>
  <c r="C445" i="4" s="1"/>
  <c r="R438" i="4"/>
  <c r="Q438" i="4"/>
  <c r="P438" i="4"/>
  <c r="O438" i="4"/>
  <c r="K438" i="4"/>
  <c r="S438" i="4" s="1"/>
  <c r="D438" i="4"/>
  <c r="R437" i="4"/>
  <c r="Q437" i="4"/>
  <c r="P437" i="4"/>
  <c r="P439" i="4" s="1"/>
  <c r="P445" i="4" s="1"/>
  <c r="O437" i="4"/>
  <c r="O439" i="4" s="1"/>
  <c r="O445" i="4" s="1"/>
  <c r="K437" i="4"/>
  <c r="S437" i="4" s="1"/>
  <c r="D437" i="4"/>
  <c r="J430" i="4"/>
  <c r="N424" i="4"/>
  <c r="N430" i="4" s="1"/>
  <c r="M424" i="4"/>
  <c r="R424" i="4" s="1"/>
  <c r="L424" i="4"/>
  <c r="L430" i="4" s="1"/>
  <c r="I424" i="4"/>
  <c r="I430" i="4" s="1"/>
  <c r="H424" i="4"/>
  <c r="H430" i="4" s="1"/>
  <c r="G424" i="4"/>
  <c r="G430" i="4" s="1"/>
  <c r="F424" i="4"/>
  <c r="F430" i="4" s="1"/>
  <c r="E424" i="4"/>
  <c r="E430" i="4" s="1"/>
  <c r="C424" i="4"/>
  <c r="C430" i="4" s="1"/>
  <c r="R422" i="4"/>
  <c r="Q422" i="4"/>
  <c r="P422" i="4"/>
  <c r="P424" i="4" s="1"/>
  <c r="P430" i="4" s="1"/>
  <c r="O422" i="4"/>
  <c r="O424" i="4" s="1"/>
  <c r="O430" i="4" s="1"/>
  <c r="K422" i="4"/>
  <c r="D422" i="4" s="1"/>
  <c r="D424" i="4" s="1"/>
  <c r="D430" i="4" s="1"/>
  <c r="J415" i="4"/>
  <c r="N409" i="4"/>
  <c r="N415" i="4" s="1"/>
  <c r="M409" i="4"/>
  <c r="L409" i="4"/>
  <c r="L415" i="4" s="1"/>
  <c r="I409" i="4"/>
  <c r="I415" i="4" s="1"/>
  <c r="H409" i="4"/>
  <c r="H415" i="4" s="1"/>
  <c r="G409" i="4"/>
  <c r="G415" i="4" s="1"/>
  <c r="F409" i="4"/>
  <c r="F415" i="4" s="1"/>
  <c r="E409" i="4"/>
  <c r="Q409" i="4" s="1"/>
  <c r="C409" i="4"/>
  <c r="C415" i="4" s="1"/>
  <c r="R408" i="4"/>
  <c r="Q408" i="4"/>
  <c r="P408" i="4"/>
  <c r="O408" i="4"/>
  <c r="K408" i="4"/>
  <c r="S408" i="4" s="1"/>
  <c r="R407" i="4"/>
  <c r="Q407" i="4"/>
  <c r="P407" i="4"/>
  <c r="P409" i="4" s="1"/>
  <c r="P415" i="4" s="1"/>
  <c r="O407" i="4"/>
  <c r="K407" i="4"/>
  <c r="S407" i="4" s="1"/>
  <c r="N400" i="4"/>
  <c r="J400" i="4"/>
  <c r="N394" i="4"/>
  <c r="M394" i="4"/>
  <c r="R394" i="4" s="1"/>
  <c r="L394" i="4"/>
  <c r="L400" i="4" s="1"/>
  <c r="I394" i="4"/>
  <c r="I400" i="4" s="1"/>
  <c r="H394" i="4"/>
  <c r="H400" i="4" s="1"/>
  <c r="G394" i="4"/>
  <c r="G400" i="4" s="1"/>
  <c r="F394" i="4"/>
  <c r="F400" i="4" s="1"/>
  <c r="E394" i="4"/>
  <c r="C394" i="4"/>
  <c r="C400" i="4" s="1"/>
  <c r="R393" i="4"/>
  <c r="Q393" i="4"/>
  <c r="P393" i="4"/>
  <c r="O393" i="4"/>
  <c r="O394" i="4" s="1"/>
  <c r="O400" i="4" s="1"/>
  <c r="K393" i="4"/>
  <c r="S393" i="4" s="1"/>
  <c r="R392" i="4"/>
  <c r="Q392" i="4"/>
  <c r="P392" i="4"/>
  <c r="O392" i="4"/>
  <c r="K392" i="4"/>
  <c r="S392" i="4" s="1"/>
  <c r="J385" i="4"/>
  <c r="N379" i="4"/>
  <c r="N385" i="4" s="1"/>
  <c r="M379" i="4"/>
  <c r="R379" i="4" s="1"/>
  <c r="L379" i="4"/>
  <c r="L385" i="4" s="1"/>
  <c r="I379" i="4"/>
  <c r="I385" i="4" s="1"/>
  <c r="H379" i="4"/>
  <c r="H385" i="4" s="1"/>
  <c r="G379" i="4"/>
  <c r="G385" i="4" s="1"/>
  <c r="F379" i="4"/>
  <c r="F385" i="4" s="1"/>
  <c r="E379" i="4"/>
  <c r="C379" i="4"/>
  <c r="C385" i="4" s="1"/>
  <c r="R378" i="4"/>
  <c r="Q378" i="4"/>
  <c r="P378" i="4"/>
  <c r="O378" i="4"/>
  <c r="K378" i="4"/>
  <c r="S378" i="4" s="1"/>
  <c r="R377" i="4"/>
  <c r="Q377" i="4"/>
  <c r="P377" i="4"/>
  <c r="P379" i="4" s="1"/>
  <c r="P385" i="4" s="1"/>
  <c r="O377" i="4"/>
  <c r="K377" i="4"/>
  <c r="S377" i="4" s="1"/>
  <c r="N370" i="4"/>
  <c r="L370" i="4"/>
  <c r="J370" i="4"/>
  <c r="N364" i="4"/>
  <c r="M364" i="4"/>
  <c r="R364" i="4" s="1"/>
  <c r="L364" i="4"/>
  <c r="I364" i="4"/>
  <c r="I370" i="4" s="1"/>
  <c r="H364" i="4"/>
  <c r="H370" i="4" s="1"/>
  <c r="G364" i="4"/>
  <c r="G370" i="4" s="1"/>
  <c r="F364" i="4"/>
  <c r="F370" i="4" s="1"/>
  <c r="E364" i="4"/>
  <c r="Q364" i="4" s="1"/>
  <c r="C364" i="4"/>
  <c r="C370" i="4" s="1"/>
  <c r="R363" i="4"/>
  <c r="Q363" i="4"/>
  <c r="P363" i="4"/>
  <c r="P364" i="4" s="1"/>
  <c r="P370" i="4" s="1"/>
  <c r="O363" i="4"/>
  <c r="O364" i="4" s="1"/>
  <c r="O370" i="4" s="1"/>
  <c r="K363" i="4"/>
  <c r="S363" i="4" s="1"/>
  <c r="D363" i="4"/>
  <c r="R362" i="4"/>
  <c r="Q362" i="4"/>
  <c r="P362" i="4"/>
  <c r="O362" i="4"/>
  <c r="K362" i="4"/>
  <c r="S362" i="4" s="1"/>
  <c r="L355" i="4"/>
  <c r="J355" i="4"/>
  <c r="N349" i="4"/>
  <c r="N355" i="4" s="1"/>
  <c r="M349" i="4"/>
  <c r="R349" i="4" s="1"/>
  <c r="L349" i="4"/>
  <c r="I349" i="4"/>
  <c r="I355" i="4" s="1"/>
  <c r="H349" i="4"/>
  <c r="H355" i="4" s="1"/>
  <c r="G349" i="4"/>
  <c r="G355" i="4" s="1"/>
  <c r="F349" i="4"/>
  <c r="F355" i="4" s="1"/>
  <c r="E349" i="4"/>
  <c r="C349" i="4"/>
  <c r="C355" i="4" s="1"/>
  <c r="O349" i="4"/>
  <c r="O355" i="4" s="1"/>
  <c r="R347" i="4"/>
  <c r="Q347" i="4"/>
  <c r="P347" i="4"/>
  <c r="P349" i="4" s="1"/>
  <c r="P355" i="4" s="1"/>
  <c r="O347" i="4"/>
  <c r="K347" i="4"/>
  <c r="S347" i="4" s="1"/>
  <c r="J340" i="4"/>
  <c r="F340" i="4"/>
  <c r="N334" i="4"/>
  <c r="N340" i="4" s="1"/>
  <c r="M334" i="4"/>
  <c r="M340" i="4" s="1"/>
  <c r="L334" i="4"/>
  <c r="L340" i="4" s="1"/>
  <c r="I334" i="4"/>
  <c r="I340" i="4" s="1"/>
  <c r="H334" i="4"/>
  <c r="H340" i="4" s="1"/>
  <c r="G334" i="4"/>
  <c r="G340" i="4" s="1"/>
  <c r="F334" i="4"/>
  <c r="E334" i="4"/>
  <c r="E340" i="4" s="1"/>
  <c r="C334" i="4"/>
  <c r="C340" i="4" s="1"/>
  <c r="R333" i="4"/>
  <c r="Q333" i="4"/>
  <c r="P333" i="4"/>
  <c r="O333" i="4"/>
  <c r="K333" i="4"/>
  <c r="S333" i="4" s="1"/>
  <c r="R332" i="4"/>
  <c r="Q332" i="4"/>
  <c r="P332" i="4"/>
  <c r="P334" i="4" s="1"/>
  <c r="P340" i="4" s="1"/>
  <c r="O332" i="4"/>
  <c r="K332" i="4"/>
  <c r="S332" i="4" s="1"/>
  <c r="J325" i="4"/>
  <c r="N319" i="4"/>
  <c r="N325" i="4" s="1"/>
  <c r="M319" i="4"/>
  <c r="L319" i="4"/>
  <c r="L325" i="4" s="1"/>
  <c r="I319" i="4"/>
  <c r="I325" i="4" s="1"/>
  <c r="H319" i="4"/>
  <c r="H325" i="4" s="1"/>
  <c r="G319" i="4"/>
  <c r="G325" i="4" s="1"/>
  <c r="F319" i="4"/>
  <c r="F325" i="4" s="1"/>
  <c r="E319" i="4"/>
  <c r="E325" i="4" s="1"/>
  <c r="C319" i="4"/>
  <c r="C325" i="4" s="1"/>
  <c r="R317" i="4"/>
  <c r="Q317" i="4"/>
  <c r="P317" i="4"/>
  <c r="O317" i="4"/>
  <c r="K317" i="4"/>
  <c r="S317" i="4" s="1"/>
  <c r="J310" i="4"/>
  <c r="N304" i="4"/>
  <c r="N310" i="4" s="1"/>
  <c r="M304" i="4"/>
  <c r="L304" i="4"/>
  <c r="L310" i="4" s="1"/>
  <c r="I304" i="4"/>
  <c r="I310" i="4" s="1"/>
  <c r="H304" i="4"/>
  <c r="H310" i="4" s="1"/>
  <c r="G304" i="4"/>
  <c r="G310" i="4" s="1"/>
  <c r="F304" i="4"/>
  <c r="F310" i="4" s="1"/>
  <c r="E304" i="4"/>
  <c r="C304" i="4"/>
  <c r="C310" i="4" s="1"/>
  <c r="R303" i="4"/>
  <c r="Q303" i="4"/>
  <c r="P303" i="4"/>
  <c r="P304" i="4" s="1"/>
  <c r="P310" i="4" s="1"/>
  <c r="O303" i="4"/>
  <c r="K303" i="4"/>
  <c r="S303" i="4" s="1"/>
  <c r="R302" i="4"/>
  <c r="Q302" i="4"/>
  <c r="P302" i="4"/>
  <c r="O302" i="4"/>
  <c r="K302" i="4"/>
  <c r="S302" i="4" s="1"/>
  <c r="J295" i="4"/>
  <c r="N289" i="4"/>
  <c r="M289" i="4"/>
  <c r="L289" i="4"/>
  <c r="I289" i="4"/>
  <c r="H289" i="4"/>
  <c r="G289" i="4"/>
  <c r="F289" i="4"/>
  <c r="E289" i="4"/>
  <c r="C289" i="4"/>
  <c r="R288" i="4"/>
  <c r="Q288" i="4"/>
  <c r="P288" i="4"/>
  <c r="O288" i="4"/>
  <c r="K288" i="4"/>
  <c r="D288" i="4" s="1"/>
  <c r="R287" i="4"/>
  <c r="Q287" i="4"/>
  <c r="P287" i="4"/>
  <c r="P289" i="4" s="1"/>
  <c r="O287" i="4"/>
  <c r="K287" i="4"/>
  <c r="D287" i="4" s="1"/>
  <c r="K258" i="4"/>
  <c r="D258" i="4" s="1"/>
  <c r="K257" i="4"/>
  <c r="S257" i="4" s="1"/>
  <c r="J278" i="4"/>
  <c r="B272" i="4"/>
  <c r="B273" i="4" s="1"/>
  <c r="B267" i="4"/>
  <c r="N259" i="4"/>
  <c r="M259" i="4"/>
  <c r="L259" i="4"/>
  <c r="I259" i="4"/>
  <c r="H259" i="4"/>
  <c r="G259" i="4"/>
  <c r="F259" i="4"/>
  <c r="E259" i="4"/>
  <c r="C259" i="4"/>
  <c r="R258" i="4"/>
  <c r="Q258" i="4"/>
  <c r="P258" i="4"/>
  <c r="O258" i="4"/>
  <c r="R257" i="4"/>
  <c r="Q257" i="4"/>
  <c r="P257" i="4"/>
  <c r="O257" i="4"/>
  <c r="D229" i="4"/>
  <c r="O228" i="4"/>
  <c r="P228" i="4"/>
  <c r="J248" i="4"/>
  <c r="B242" i="4"/>
  <c r="B243" i="4" s="1"/>
  <c r="B237" i="4"/>
  <c r="N229" i="4"/>
  <c r="M229" i="4"/>
  <c r="L229" i="4"/>
  <c r="S229" i="4" s="1"/>
  <c r="I229" i="4"/>
  <c r="H229" i="4"/>
  <c r="G229" i="4"/>
  <c r="F229" i="4"/>
  <c r="E229" i="4"/>
  <c r="C229" i="4"/>
  <c r="S228" i="4"/>
  <c r="R228" i="4"/>
  <c r="Q228" i="4"/>
  <c r="R227" i="4"/>
  <c r="Q227" i="4"/>
  <c r="P227" i="4"/>
  <c r="O227" i="4"/>
  <c r="K229" i="4"/>
  <c r="J220" i="4"/>
  <c r="B212" i="4"/>
  <c r="B207" i="4"/>
  <c r="N195" i="4"/>
  <c r="M195" i="4"/>
  <c r="L195" i="4"/>
  <c r="I195" i="4"/>
  <c r="H195" i="4"/>
  <c r="G195" i="4"/>
  <c r="F195" i="4"/>
  <c r="E195" i="4"/>
  <c r="C195" i="4"/>
  <c r="R192" i="4"/>
  <c r="Q192" i="4"/>
  <c r="P192" i="4"/>
  <c r="O192" i="4"/>
  <c r="O195" i="4" s="1"/>
  <c r="K192" i="4"/>
  <c r="K195" i="4" s="1"/>
  <c r="B172" i="4"/>
  <c r="B177" i="4"/>
  <c r="B176" i="4"/>
  <c r="B179" i="4" s="1"/>
  <c r="B180" i="4" s="1"/>
  <c r="B175" i="4"/>
  <c r="J185" i="4"/>
  <c r="N160" i="4"/>
  <c r="M160" i="4"/>
  <c r="L160" i="4"/>
  <c r="I160" i="4"/>
  <c r="H160" i="4"/>
  <c r="G160" i="4"/>
  <c r="F160" i="4"/>
  <c r="E160" i="4"/>
  <c r="C160" i="4"/>
  <c r="R158" i="4"/>
  <c r="Q158" i="4"/>
  <c r="P158" i="4"/>
  <c r="O158" i="4"/>
  <c r="K158" i="4"/>
  <c r="S158" i="4" s="1"/>
  <c r="R157" i="4"/>
  <c r="Q157" i="4"/>
  <c r="P157" i="4"/>
  <c r="O157" i="4"/>
  <c r="K157" i="4"/>
  <c r="S157" i="4" s="1"/>
  <c r="J150" i="4"/>
  <c r="B144" i="4"/>
  <c r="B145" i="4" s="1"/>
  <c r="B139" i="4"/>
  <c r="N131" i="4"/>
  <c r="M131" i="4"/>
  <c r="L131" i="4"/>
  <c r="I131" i="4"/>
  <c r="H131" i="4"/>
  <c r="G131" i="4"/>
  <c r="F131" i="4"/>
  <c r="E131" i="4"/>
  <c r="C131" i="4"/>
  <c r="R130" i="4"/>
  <c r="Q130" i="4"/>
  <c r="P130" i="4"/>
  <c r="O130" i="4"/>
  <c r="K130" i="4"/>
  <c r="D130" i="4" s="1"/>
  <c r="R129" i="4"/>
  <c r="Q129" i="4"/>
  <c r="P129" i="4"/>
  <c r="O129" i="4"/>
  <c r="K129" i="4"/>
  <c r="S129" i="4" s="1"/>
  <c r="R128" i="4"/>
  <c r="Q128" i="4"/>
  <c r="P128" i="4"/>
  <c r="O128" i="4"/>
  <c r="K128" i="4"/>
  <c r="S128" i="4" s="1"/>
  <c r="K100" i="4"/>
  <c r="S100" i="4" s="1"/>
  <c r="K101" i="4"/>
  <c r="S101" i="4" s="1"/>
  <c r="Q100" i="4"/>
  <c r="R100" i="4"/>
  <c r="Q101" i="4"/>
  <c r="R101" i="4"/>
  <c r="O100" i="4"/>
  <c r="P100" i="4"/>
  <c r="O101" i="4"/>
  <c r="P101" i="4"/>
  <c r="J121" i="4"/>
  <c r="B115" i="4"/>
  <c r="B116" i="4" s="1"/>
  <c r="B110" i="4"/>
  <c r="N102" i="4"/>
  <c r="M102" i="4"/>
  <c r="L102" i="4"/>
  <c r="I102" i="4"/>
  <c r="H102" i="4"/>
  <c r="G102" i="4"/>
  <c r="F102" i="4"/>
  <c r="E102" i="4"/>
  <c r="C102" i="4"/>
  <c r="R99" i="4"/>
  <c r="Q99" i="4"/>
  <c r="P99" i="4"/>
  <c r="O99" i="4"/>
  <c r="K99" i="4"/>
  <c r="K424" i="4" l="1"/>
  <c r="K430" i="4" s="1"/>
  <c r="S430" i="4" s="1"/>
  <c r="S422" i="4"/>
  <c r="R409" i="4"/>
  <c r="O409" i="4"/>
  <c r="O415" i="4" s="1"/>
  <c r="D408" i="4"/>
  <c r="P394" i="4"/>
  <c r="P400" i="4" s="1"/>
  <c r="Q394" i="4"/>
  <c r="Q445" i="4"/>
  <c r="M445" i="4"/>
  <c r="R445" i="4" s="1"/>
  <c r="K439" i="4"/>
  <c r="Q430" i="4"/>
  <c r="M430" i="4"/>
  <c r="R430" i="4" s="1"/>
  <c r="Q424" i="4"/>
  <c r="O379" i="4"/>
  <c r="O385" i="4" s="1"/>
  <c r="Q379" i="4"/>
  <c r="D377" i="4"/>
  <c r="D407" i="4"/>
  <c r="E415" i="4"/>
  <c r="Q415" i="4" s="1"/>
  <c r="M415" i="4"/>
  <c r="R415" i="4" s="1"/>
  <c r="K409" i="4"/>
  <c r="D393" i="4"/>
  <c r="E400" i="4"/>
  <c r="Q400" i="4" s="1"/>
  <c r="M400" i="4"/>
  <c r="R400" i="4" s="1"/>
  <c r="D392" i="4"/>
  <c r="K394" i="4"/>
  <c r="D378" i="4"/>
  <c r="E385" i="4"/>
  <c r="Q385" i="4" s="1"/>
  <c r="M385" i="4"/>
  <c r="R385" i="4" s="1"/>
  <c r="K379" i="4"/>
  <c r="E370" i="4"/>
  <c r="Q370" i="4" s="1"/>
  <c r="M370" i="4"/>
  <c r="R370" i="4" s="1"/>
  <c r="D362" i="4"/>
  <c r="D364" i="4" s="1"/>
  <c r="D370" i="4" s="1"/>
  <c r="K364" i="4"/>
  <c r="Q349" i="4"/>
  <c r="E355" i="4"/>
  <c r="Q355" i="4" s="1"/>
  <c r="M355" i="4"/>
  <c r="R355" i="4" s="1"/>
  <c r="K349" i="4"/>
  <c r="D347" i="4"/>
  <c r="D349" i="4" s="1"/>
  <c r="D355" i="4" s="1"/>
  <c r="O334" i="4"/>
  <c r="O340" i="4" s="1"/>
  <c r="R340" i="4"/>
  <c r="Q340" i="4"/>
  <c r="Q334" i="4"/>
  <c r="D333" i="4"/>
  <c r="R334" i="4"/>
  <c r="D332" i="4"/>
  <c r="K334" i="4"/>
  <c r="D317" i="4"/>
  <c r="O319" i="4"/>
  <c r="O325" i="4" s="1"/>
  <c r="P319" i="4"/>
  <c r="P325" i="4" s="1"/>
  <c r="R319" i="4"/>
  <c r="Q325" i="4"/>
  <c r="Q319" i="4"/>
  <c r="M325" i="4"/>
  <c r="R325" i="4" s="1"/>
  <c r="K319" i="4"/>
  <c r="O304" i="4"/>
  <c r="O310" i="4" s="1"/>
  <c r="R304" i="4"/>
  <c r="D303" i="4"/>
  <c r="Q304" i="4"/>
  <c r="E310" i="4"/>
  <c r="Q310" i="4" s="1"/>
  <c r="M310" i="4"/>
  <c r="R310" i="4" s="1"/>
  <c r="D302" i="4"/>
  <c r="K304" i="4"/>
  <c r="S258" i="4"/>
  <c r="D257" i="4"/>
  <c r="D259" i="4" s="1"/>
  <c r="O229" i="4"/>
  <c r="P259" i="4"/>
  <c r="P229" i="4"/>
  <c r="I295" i="4"/>
  <c r="O289" i="4"/>
  <c r="D289" i="4"/>
  <c r="Q289" i="4"/>
  <c r="R289" i="4"/>
  <c r="S288" i="4"/>
  <c r="K289" i="4"/>
  <c r="S287" i="4"/>
  <c r="K259" i="4"/>
  <c r="Q259" i="4"/>
  <c r="B274" i="4"/>
  <c r="G278" i="4" s="1"/>
  <c r="O259" i="4"/>
  <c r="R259" i="4"/>
  <c r="S259" i="4"/>
  <c r="B244" i="4"/>
  <c r="K248" i="4" s="1"/>
  <c r="S227" i="4"/>
  <c r="Q229" i="4"/>
  <c r="R229" i="4"/>
  <c r="B214" i="4"/>
  <c r="B215" i="4" s="1"/>
  <c r="B216" i="4" s="1"/>
  <c r="C220" i="4" s="1"/>
  <c r="P195" i="4"/>
  <c r="Q195" i="4"/>
  <c r="S195" i="4"/>
  <c r="S192" i="4"/>
  <c r="D192" i="4"/>
  <c r="R195" i="4"/>
  <c r="Q160" i="4"/>
  <c r="D128" i="4"/>
  <c r="Q131" i="4"/>
  <c r="B181" i="4"/>
  <c r="E185" i="4" s="1"/>
  <c r="R160" i="4"/>
  <c r="P160" i="4"/>
  <c r="O160" i="4"/>
  <c r="D157" i="4"/>
  <c r="K160" i="4"/>
  <c r="D158" i="4"/>
  <c r="B146" i="4"/>
  <c r="H150" i="4" s="1"/>
  <c r="K131" i="4"/>
  <c r="S131" i="4" s="1"/>
  <c r="O131" i="4"/>
  <c r="P131" i="4"/>
  <c r="S130" i="4"/>
  <c r="D129" i="4"/>
  <c r="R131" i="4"/>
  <c r="B117" i="4"/>
  <c r="G121" i="4" s="1"/>
  <c r="K102" i="4"/>
  <c r="S102" i="4" s="1"/>
  <c r="R102" i="4"/>
  <c r="Q102" i="4"/>
  <c r="O102" i="4"/>
  <c r="P102" i="4"/>
  <c r="D101" i="4"/>
  <c r="D100" i="4"/>
  <c r="I121" i="4"/>
  <c r="S99" i="4"/>
  <c r="D99" i="4"/>
  <c r="K71" i="4"/>
  <c r="K73" i="4" s="1"/>
  <c r="P71" i="4"/>
  <c r="P73" i="4" s="1"/>
  <c r="O71" i="4"/>
  <c r="O73" i="4" s="1"/>
  <c r="J92" i="4"/>
  <c r="B86" i="4"/>
  <c r="B87" i="4" s="1"/>
  <c r="B81" i="4"/>
  <c r="N73" i="4"/>
  <c r="M73" i="4"/>
  <c r="L73" i="4"/>
  <c r="I73" i="4"/>
  <c r="H73" i="4"/>
  <c r="G73" i="4"/>
  <c r="F73" i="4"/>
  <c r="E73" i="4"/>
  <c r="C73" i="4"/>
  <c r="R72" i="4"/>
  <c r="Q72" i="4"/>
  <c r="R71" i="4"/>
  <c r="Q71" i="4"/>
  <c r="J64" i="4"/>
  <c r="B58" i="4"/>
  <c r="B59" i="4" s="1"/>
  <c r="B53" i="4"/>
  <c r="K34" i="4"/>
  <c r="D34" i="4" s="1"/>
  <c r="K33" i="4"/>
  <c r="S33" i="4" s="1"/>
  <c r="O34" i="4"/>
  <c r="P34" i="4"/>
  <c r="P33" i="4"/>
  <c r="O33" i="4"/>
  <c r="N35" i="4"/>
  <c r="M35" i="4"/>
  <c r="L35" i="4"/>
  <c r="I35" i="4"/>
  <c r="H35" i="4"/>
  <c r="G35" i="4"/>
  <c r="F35" i="4"/>
  <c r="E35" i="4"/>
  <c r="C35" i="4"/>
  <c r="R34" i="4"/>
  <c r="Q34" i="4"/>
  <c r="R33" i="4"/>
  <c r="Q33" i="4"/>
  <c r="J26" i="4"/>
  <c r="K4" i="4"/>
  <c r="D4" i="4" s="1"/>
  <c r="Q5" i="4"/>
  <c r="Q4" i="4"/>
  <c r="R5" i="4"/>
  <c r="R4" i="4"/>
  <c r="K5" i="4"/>
  <c r="D5" i="4" s="1"/>
  <c r="B20" i="4"/>
  <c r="B21" i="4" s="1"/>
  <c r="B15" i="4"/>
  <c r="L6" i="4"/>
  <c r="M6" i="4"/>
  <c r="N6" i="4"/>
  <c r="E6" i="4"/>
  <c r="F6" i="4"/>
  <c r="G6" i="4"/>
  <c r="H6" i="4"/>
  <c r="I6" i="4"/>
  <c r="C6" i="4"/>
  <c r="O5" i="4"/>
  <c r="P5" i="4"/>
  <c r="P4" i="4"/>
  <c r="O4" i="4"/>
  <c r="E4" i="2"/>
  <c r="E5" i="2"/>
  <c r="E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2" i="2"/>
  <c r="E33" i="2"/>
  <c r="E34" i="2"/>
  <c r="E35" i="2"/>
  <c r="E36" i="2"/>
  <c r="E37" i="2"/>
  <c r="E38" i="2"/>
  <c r="E39" i="2"/>
  <c r="E40" i="2"/>
  <c r="E42" i="2"/>
  <c r="E43" i="2"/>
  <c r="E44" i="2"/>
  <c r="E45" i="2"/>
  <c r="E46" i="2"/>
  <c r="E47" i="2"/>
  <c r="E48" i="2"/>
  <c r="E49" i="2"/>
  <c r="E50" i="2"/>
  <c r="E52" i="2"/>
  <c r="E53" i="2"/>
  <c r="E57" i="2"/>
  <c r="E54" i="2"/>
  <c r="E55" i="2"/>
  <c r="E56" i="2"/>
  <c r="E58" i="2"/>
  <c r="E3" i="2"/>
  <c r="C10" i="3"/>
  <c r="E31" i="2"/>
  <c r="E7" i="2"/>
  <c r="D26" i="3"/>
  <c r="E41" i="2" s="1"/>
  <c r="D27" i="3"/>
  <c r="E51" i="2" s="1"/>
  <c r="D25" i="3"/>
  <c r="D34" i="3" s="1"/>
  <c r="D35" i="3" s="1"/>
  <c r="D4" i="3"/>
  <c r="D5" i="3"/>
  <c r="D6" i="3"/>
  <c r="D7" i="3"/>
  <c r="D8" i="3"/>
  <c r="D9" i="3"/>
  <c r="D3" i="3"/>
  <c r="S424" i="4" l="1"/>
  <c r="D409" i="4"/>
  <c r="D415" i="4" s="1"/>
  <c r="D394" i="4"/>
  <c r="D400" i="4" s="1"/>
  <c r="K445" i="4"/>
  <c r="S445" i="4" s="1"/>
  <c r="S439" i="4"/>
  <c r="D379" i="4"/>
  <c r="D385" i="4" s="1"/>
  <c r="K415" i="4"/>
  <c r="S415" i="4" s="1"/>
  <c r="S409" i="4"/>
  <c r="K400" i="4"/>
  <c r="S400" i="4" s="1"/>
  <c r="S394" i="4"/>
  <c r="K385" i="4"/>
  <c r="S385" i="4" s="1"/>
  <c r="S379" i="4"/>
  <c r="K370" i="4"/>
  <c r="S370" i="4" s="1"/>
  <c r="S364" i="4"/>
  <c r="K355" i="4"/>
  <c r="S355" i="4" s="1"/>
  <c r="S349" i="4"/>
  <c r="D334" i="4"/>
  <c r="D340" i="4" s="1"/>
  <c r="K340" i="4"/>
  <c r="S340" i="4" s="1"/>
  <c r="S334" i="4"/>
  <c r="D319" i="4"/>
  <c r="D325" i="4" s="1"/>
  <c r="K325" i="4"/>
  <c r="S325" i="4" s="1"/>
  <c r="S319" i="4"/>
  <c r="D304" i="4"/>
  <c r="D310" i="4" s="1"/>
  <c r="K310" i="4"/>
  <c r="S310" i="4" s="1"/>
  <c r="S304" i="4"/>
  <c r="D131" i="4"/>
  <c r="C278" i="4"/>
  <c r="D295" i="4"/>
  <c r="O295" i="4"/>
  <c r="N295" i="4"/>
  <c r="C295" i="4"/>
  <c r="F295" i="4"/>
  <c r="P295" i="4"/>
  <c r="H295" i="4"/>
  <c r="L295" i="4"/>
  <c r="E295" i="4"/>
  <c r="M295" i="4"/>
  <c r="G295" i="4"/>
  <c r="K295" i="4"/>
  <c r="S289" i="4"/>
  <c r="K278" i="4"/>
  <c r="F278" i="4"/>
  <c r="E278" i="4"/>
  <c r="I278" i="4"/>
  <c r="L278" i="4"/>
  <c r="P278" i="4"/>
  <c r="N278" i="4"/>
  <c r="H278" i="4"/>
  <c r="D278" i="4"/>
  <c r="M278" i="4"/>
  <c r="O278" i="4"/>
  <c r="G248" i="4"/>
  <c r="D248" i="4"/>
  <c r="O248" i="4"/>
  <c r="L248" i="4"/>
  <c r="S248" i="4" s="1"/>
  <c r="N248" i="4"/>
  <c r="M248" i="4"/>
  <c r="R248" i="4" s="1"/>
  <c r="F248" i="4"/>
  <c r="H248" i="4"/>
  <c r="I248" i="4"/>
  <c r="C248" i="4"/>
  <c r="P248" i="4"/>
  <c r="E248" i="4"/>
  <c r="P220" i="4"/>
  <c r="F220" i="4"/>
  <c r="M220" i="4"/>
  <c r="G220" i="4"/>
  <c r="K220" i="4"/>
  <c r="I220" i="4"/>
  <c r="H220" i="4"/>
  <c r="N220" i="4"/>
  <c r="E220" i="4"/>
  <c r="Q220" i="4" s="1"/>
  <c r="L220" i="4"/>
  <c r="O220" i="4"/>
  <c r="D195" i="4"/>
  <c r="D220" i="4" s="1"/>
  <c r="N185" i="4"/>
  <c r="I185" i="4"/>
  <c r="M185" i="4"/>
  <c r="L185" i="4"/>
  <c r="F185" i="4"/>
  <c r="H185" i="4"/>
  <c r="O185" i="4"/>
  <c r="G185" i="4"/>
  <c r="C185" i="4"/>
  <c r="Q185" i="4" s="1"/>
  <c r="P185" i="4"/>
  <c r="D160" i="4"/>
  <c r="D185" i="4" s="1"/>
  <c r="K185" i="4"/>
  <c r="S160" i="4"/>
  <c r="M150" i="4"/>
  <c r="N150" i="4"/>
  <c r="P150" i="4"/>
  <c r="D150" i="4"/>
  <c r="L150" i="4"/>
  <c r="I150" i="4"/>
  <c r="C150" i="4"/>
  <c r="F150" i="4"/>
  <c r="G150" i="4"/>
  <c r="E150" i="4"/>
  <c r="O150" i="4"/>
  <c r="K150" i="4"/>
  <c r="N121" i="4"/>
  <c r="Q73" i="4"/>
  <c r="D102" i="4"/>
  <c r="D121" i="4" s="1"/>
  <c r="B22" i="4"/>
  <c r="M26" i="4" s="1"/>
  <c r="R73" i="4"/>
  <c r="B60" i="4"/>
  <c r="F64" i="4" s="1"/>
  <c r="P121" i="4"/>
  <c r="L121" i="4"/>
  <c r="C121" i="4"/>
  <c r="E121" i="4"/>
  <c r="M121" i="4"/>
  <c r="F121" i="4"/>
  <c r="O121" i="4"/>
  <c r="H121" i="4"/>
  <c r="K121" i="4"/>
  <c r="D71" i="4"/>
  <c r="D73" i="4" s="1"/>
  <c r="B88" i="4"/>
  <c r="G92" i="4" s="1"/>
  <c r="S71" i="4"/>
  <c r="S72" i="4"/>
  <c r="S34" i="4"/>
  <c r="D33" i="4"/>
  <c r="D35" i="4" s="1"/>
  <c r="R6" i="4"/>
  <c r="Q6" i="4"/>
  <c r="O35" i="4"/>
  <c r="P35" i="4"/>
  <c r="Q35" i="4"/>
  <c r="R35" i="4"/>
  <c r="K35" i="4"/>
  <c r="D6" i="4"/>
  <c r="K6" i="4"/>
  <c r="O6" i="4"/>
  <c r="P6" i="4"/>
  <c r="E23" i="2"/>
  <c r="E60" i="2" s="1"/>
  <c r="C65" i="2" s="1"/>
  <c r="D6" i="2"/>
  <c r="D8" i="2"/>
  <c r="D9" i="2"/>
  <c r="D10" i="2"/>
  <c r="D11" i="2"/>
  <c r="D13" i="2"/>
  <c r="D16" i="2"/>
  <c r="D17" i="2"/>
  <c r="D18" i="2"/>
  <c r="D19" i="2"/>
  <c r="D20" i="2"/>
  <c r="D21" i="2"/>
  <c r="D22" i="2"/>
  <c r="D23" i="2"/>
  <c r="D24" i="2"/>
  <c r="D26" i="2"/>
  <c r="D27" i="2"/>
  <c r="D28" i="2"/>
  <c r="D30" i="2"/>
  <c r="D31" i="2"/>
  <c r="D32" i="2"/>
  <c r="D33" i="2"/>
  <c r="D35" i="2"/>
  <c r="D40" i="2"/>
  <c r="D41" i="2"/>
  <c r="D42" i="2"/>
  <c r="D44" i="2"/>
  <c r="D47" i="2"/>
  <c r="D48" i="2"/>
  <c r="D49" i="2"/>
  <c r="D50" i="2"/>
  <c r="D51" i="2"/>
  <c r="D52" i="2"/>
  <c r="D53" i="2"/>
  <c r="D57" i="2"/>
  <c r="D54" i="2"/>
  <c r="D55" i="2"/>
  <c r="D56" i="2"/>
  <c r="D58" i="2"/>
  <c r="D3" i="2"/>
  <c r="G3" i="2" s="1"/>
  <c r="J4" i="1"/>
  <c r="D29" i="2" s="1"/>
  <c r="J5" i="1"/>
  <c r="J6" i="1"/>
  <c r="D45" i="2" s="1"/>
  <c r="J7" i="1"/>
  <c r="J8" i="1"/>
  <c r="J9" i="1"/>
  <c r="J10" i="1"/>
  <c r="D14" i="2" s="1"/>
  <c r="J11" i="1"/>
  <c r="J12" i="1"/>
  <c r="D4" i="2" s="1"/>
  <c r="J13" i="1"/>
  <c r="J14" i="1"/>
  <c r="D37" i="2" s="1"/>
  <c r="J15" i="1"/>
  <c r="D36" i="2" s="1"/>
  <c r="J16" i="1"/>
  <c r="D38" i="2" s="1"/>
  <c r="J17" i="1"/>
  <c r="J18" i="1"/>
  <c r="J19" i="1"/>
  <c r="J20" i="1"/>
  <c r="D34" i="2" s="1"/>
  <c r="J21" i="1"/>
  <c r="J22" i="1"/>
  <c r="D25" i="2" s="1"/>
  <c r="J23" i="1"/>
  <c r="D15" i="2" s="1"/>
  <c r="D43" i="2"/>
  <c r="C60" i="2"/>
  <c r="C63" i="2" s="1"/>
  <c r="G29" i="1"/>
  <c r="C24" i="1"/>
  <c r="G4" i="1"/>
  <c r="H4" i="1" s="1"/>
  <c r="G5" i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3" i="1"/>
  <c r="H3" i="1" s="1"/>
  <c r="R220" i="4" l="1"/>
  <c r="Q248" i="4"/>
  <c r="S295" i="4"/>
  <c r="R295" i="4"/>
  <c r="Q295" i="4"/>
  <c r="R278" i="4"/>
  <c r="Q278" i="4"/>
  <c r="S278" i="4"/>
  <c r="S220" i="4"/>
  <c r="R185" i="4"/>
  <c r="S185" i="4"/>
  <c r="D64" i="4"/>
  <c r="H64" i="4"/>
  <c r="R150" i="4"/>
  <c r="S150" i="4"/>
  <c r="Q150" i="4"/>
  <c r="K64" i="4"/>
  <c r="P64" i="4"/>
  <c r="O64" i="4"/>
  <c r="R121" i="4"/>
  <c r="C64" i="4"/>
  <c r="M64" i="4"/>
  <c r="L64" i="4"/>
  <c r="N64" i="4"/>
  <c r="G64" i="4"/>
  <c r="I64" i="4"/>
  <c r="E64" i="4"/>
  <c r="Q121" i="4"/>
  <c r="S121" i="4"/>
  <c r="O92" i="4"/>
  <c r="H92" i="4"/>
  <c r="L92" i="4"/>
  <c r="E92" i="4"/>
  <c r="M92" i="4"/>
  <c r="F92" i="4"/>
  <c r="D92" i="4"/>
  <c r="C92" i="4"/>
  <c r="I92" i="4"/>
  <c r="N92" i="4"/>
  <c r="K92" i="4"/>
  <c r="P92" i="4"/>
  <c r="D26" i="4"/>
  <c r="K26" i="4"/>
  <c r="C26" i="4"/>
  <c r="H26" i="4"/>
  <c r="N26" i="4"/>
  <c r="R26" i="4" s="1"/>
  <c r="E26" i="4"/>
  <c r="G26" i="4"/>
  <c r="P26" i="4"/>
  <c r="I26" i="4"/>
  <c r="O26" i="4"/>
  <c r="L26" i="4"/>
  <c r="F26" i="4"/>
  <c r="D12" i="2"/>
  <c r="G12" i="2" s="1"/>
  <c r="D39" i="2"/>
  <c r="F39" i="2" s="1"/>
  <c r="D5" i="2"/>
  <c r="G5" i="2" s="1"/>
  <c r="D46" i="2"/>
  <c r="F46" i="2" s="1"/>
  <c r="D7" i="2"/>
  <c r="F7" i="2" s="1"/>
  <c r="J24" i="1"/>
  <c r="F50" i="2"/>
  <c r="G50" i="2"/>
  <c r="F56" i="2"/>
  <c r="G56" i="2"/>
  <c r="F49" i="2"/>
  <c r="G49" i="2"/>
  <c r="F41" i="2"/>
  <c r="G41" i="2"/>
  <c r="F33" i="2"/>
  <c r="G33" i="2"/>
  <c r="F25" i="2"/>
  <c r="G25" i="2"/>
  <c r="F17" i="2"/>
  <c r="G17" i="2"/>
  <c r="F9" i="2"/>
  <c r="G9" i="2"/>
  <c r="F34" i="2"/>
  <c r="G34" i="2"/>
  <c r="F18" i="2"/>
  <c r="G18" i="2"/>
  <c r="F55" i="2"/>
  <c r="G55" i="2"/>
  <c r="F48" i="2"/>
  <c r="G48" i="2"/>
  <c r="F40" i="2"/>
  <c r="G40" i="2"/>
  <c r="F32" i="2"/>
  <c r="G32" i="2"/>
  <c r="F24" i="2"/>
  <c r="G24" i="2"/>
  <c r="F16" i="2"/>
  <c r="G16" i="2"/>
  <c r="F8" i="2"/>
  <c r="G8" i="2"/>
  <c r="F58" i="2"/>
  <c r="G58" i="2"/>
  <c r="F26" i="2"/>
  <c r="G26" i="2"/>
  <c r="F10" i="2"/>
  <c r="G10" i="2"/>
  <c r="F54" i="2"/>
  <c r="G54" i="2"/>
  <c r="F47" i="2"/>
  <c r="G47" i="2"/>
  <c r="F31" i="2"/>
  <c r="G31" i="2"/>
  <c r="F23" i="2"/>
  <c r="G23" i="2"/>
  <c r="F15" i="2"/>
  <c r="G15" i="2"/>
  <c r="F57" i="2"/>
  <c r="G57" i="2"/>
  <c r="F38" i="2"/>
  <c r="G38" i="2"/>
  <c r="F30" i="2"/>
  <c r="G30" i="2"/>
  <c r="F22" i="2"/>
  <c r="G22" i="2"/>
  <c r="F14" i="2"/>
  <c r="G14" i="2"/>
  <c r="F6" i="2"/>
  <c r="G6" i="2"/>
  <c r="F42" i="2"/>
  <c r="G42" i="2"/>
  <c r="G53" i="2"/>
  <c r="F53" i="2"/>
  <c r="G45" i="2"/>
  <c r="F45" i="2"/>
  <c r="G37" i="2"/>
  <c r="F37" i="2"/>
  <c r="G29" i="2"/>
  <c r="F29" i="2"/>
  <c r="G21" i="2"/>
  <c r="F21" i="2"/>
  <c r="G13" i="2"/>
  <c r="F13" i="2"/>
  <c r="G52" i="2"/>
  <c r="F52" i="2"/>
  <c r="G44" i="2"/>
  <c r="F44" i="2"/>
  <c r="G36" i="2"/>
  <c r="F36" i="2"/>
  <c r="G28" i="2"/>
  <c r="F28" i="2"/>
  <c r="G20" i="2"/>
  <c r="F20" i="2"/>
  <c r="G4" i="2"/>
  <c r="F4" i="2"/>
  <c r="F3" i="2"/>
  <c r="G51" i="2"/>
  <c r="F51" i="2"/>
  <c r="G43" i="2"/>
  <c r="F43" i="2"/>
  <c r="G35" i="2"/>
  <c r="F35" i="2"/>
  <c r="G27" i="2"/>
  <c r="F27" i="2"/>
  <c r="G19" i="2"/>
  <c r="F19" i="2"/>
  <c r="G11" i="2"/>
  <c r="F11" i="2"/>
  <c r="F12" i="2" l="1"/>
  <c r="G46" i="2"/>
  <c r="D60" i="2"/>
  <c r="C64" i="2" s="1"/>
  <c r="C66" i="2" s="1"/>
  <c r="F5" i="2"/>
  <c r="S64" i="4"/>
  <c r="R92" i="4"/>
  <c r="Q92" i="4"/>
  <c r="S92" i="4"/>
  <c r="Q26" i="4"/>
  <c r="Q64" i="4"/>
  <c r="R64" i="4"/>
  <c r="G7" i="2"/>
  <c r="G39" i="2"/>
  <c r="F60" i="2" l="1"/>
  <c r="G6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27" authorId="0" shapeId="0" xr:uid="{5A0F002B-2B21-4E76-B86B-7EB59C74C06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Assign a "P" when the UZA crosses state boundaries. Values in the row represent UZA population etc. in one state only.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tc={65CDCA9A-3667-4131-8CB5-F9FBEBA0EAC6}</author>
    <author>tc={9088CD11-155F-45AC-BFEE-647C347D1E82}</author>
  </authors>
  <commentList>
    <comment ref="P11" authorId="0" shapeId="0" xr:uid="{65CDCA9A-3667-4131-8CB5-F9FBEBA0EAC6}">
      <text>
        <t>[Threaded comment]
Your version of Excel allows you to read this threaded comment; however, any edits to it will get removed if the file is opened in a newer version of Excel. Learn more: https://go.microsoft.com/fwlink/?linkid=870924
Comment:
    These are for funding stability guarantees -- no values should be applied to new transit district</t>
      </text>
    </comment>
    <comment ref="P25" authorId="1" shapeId="0" xr:uid="{9088CD11-155F-45AC-BFEE-647C347D1E82}">
      <text>
        <t>[Threaded comment]
Your version of Excel allows you to read this threaded comment; however, any edits to it will get removed if the file is opened in a newer version of Excel. Learn more: https://go.microsoft.com/fwlink/?linkid=870924
Comment:
    These are for funding stability guarantees -- no values should be applied to new transit district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tc={864CB9F4-B38F-4F3C-A70B-13B1041384FD}</author>
    <author>tc={A0AAFF47-B80B-43B5-938F-AE54C2A84F30}</author>
    <author>tc={D9764E6B-803B-4C0B-B6B4-C229E8BE9D12}</author>
    <author>tc={54019B06-BA3C-4901-B699-70C3F3799B29}</author>
    <author>tc={E85FF432-8A2B-4E49-9DFE-42FE28130D8F}</author>
    <author>tc={C2F18EF6-14BF-4AC3-A7C6-D5E766BF5FB8}</author>
    <author>tc={2CF81E15-43C5-46E3-8EB0-FE5CA35A8505}</author>
    <author>tc={459EB545-D0BC-43AE-96B8-CE3ADEF98C58}</author>
  </authors>
  <commentList>
    <comment ref="F7" authorId="0" shapeId="0" xr:uid="{864CB9F4-B38F-4F3C-A70B-13B1041384FD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STIC table</t>
      </text>
    </comment>
    <comment ref="H7" authorId="1" shapeId="0" xr:uid="{A0AAFF47-B80B-43B5-938F-AE54C2A84F30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FTA tables for UZAs</t>
      </text>
    </comment>
    <comment ref="J10" authorId="2" shapeId="0" xr:uid="{D9764E6B-803B-4C0B-B6B4-C229E8BE9D12}">
      <text>
        <t>[Threaded comment]
Your version of Excel allows you to read this threaded comment; however, any edits to it will get removed if the file is opened in a newer version of Excel. Learn more: https://go.microsoft.com/fwlink/?linkid=870924
Comment:
    "2020 Urban-Rural NTD Data Swap.xlsx" &lt;States States&gt; tab
Reply:
    Adjusted to account for new UZAs (reducing non-UZA state VRM) and for UZAs becoming rural (increasing non-UZA state VRM)</t>
      </text>
    </comment>
    <comment ref="Q10" authorId="3" shapeId="0" xr:uid="{54019B06-BA3C-4901-B699-70C3F3799B29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"State Projected Populations for 5340v2.xlsx" &lt;Pop Calc.&gt; tab</t>
      </text>
    </comment>
    <comment ref="S10" authorId="4" shapeId="0" xr:uid="{E85FF432-8A2B-4E49-9DFE-42FE28130D8F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State Areas workbook</t>
      </text>
    </comment>
    <comment ref="J15" authorId="5" shapeId="0" xr:uid="{C2F18EF6-14BF-4AC3-A7C6-D5E766BF5FB8}">
      <text>
        <t>[Threaded comment]
Your version of Excel allows you to read this threaded comment; however, any edits to it will get removed if the file is opened in a newer version of Excel. Learn more: https://go.microsoft.com/fwlink/?linkid=870924
Comment:
    Does not require subtraction, because 2010 service data treated Lake Tahoe as UZA</t>
      </text>
    </comment>
    <comment ref="Q16" authorId="6" shapeId="0" xr:uid="{2CF81E15-43C5-46E3-8EB0-FE5CA35A8505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"State Projected Populations for 5340v2.xlsx" &lt;Pop Calc.&gt; tab</t>
      </text>
    </comment>
    <comment ref="S16" authorId="7" shapeId="0" xr:uid="{459EB545-D0BC-43AE-96B8-CE3ADEF98C58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State Areas workbook</t>
      </text>
    </comment>
  </commentList>
</comments>
</file>

<file path=xl/sharedStrings.xml><?xml version="1.0" encoding="utf-8"?>
<sst xmlns="http://schemas.openxmlformats.org/spreadsheetml/2006/main" count="1852" uniqueCount="468">
  <si>
    <t>06031</t>
  </si>
  <si>
    <t xml:space="preserve">Beaufort--Port Royal, SC  </t>
  </si>
  <si>
    <t>09514</t>
  </si>
  <si>
    <t xml:space="preserve">Bozeman, MT  </t>
  </si>
  <si>
    <t>8R02-80235</t>
  </si>
  <si>
    <t>11431</t>
  </si>
  <si>
    <t xml:space="preserve">Bullhead City, AZ--NV  </t>
  </si>
  <si>
    <t>9R01-91037</t>
  </si>
  <si>
    <t>19828</t>
  </si>
  <si>
    <t xml:space="preserve">Cookeville, TN  </t>
  </si>
  <si>
    <t>4R08-40978</t>
  </si>
  <si>
    <t>25498</t>
  </si>
  <si>
    <t xml:space="preserve">Eagle Pass, TX  </t>
  </si>
  <si>
    <t>6R05-60256</t>
  </si>
  <si>
    <t>27631</t>
  </si>
  <si>
    <t xml:space="preserve">Enid, OK  </t>
  </si>
  <si>
    <t>6R04-60227</t>
  </si>
  <si>
    <t>31150</t>
  </si>
  <si>
    <t xml:space="preserve">Four Corners, FL  </t>
  </si>
  <si>
    <t>39052</t>
  </si>
  <si>
    <t xml:space="preserve">Hilo, HI  </t>
  </si>
  <si>
    <t>9R03-91080</t>
  </si>
  <si>
    <t>39511</t>
  </si>
  <si>
    <t xml:space="preserve">Hollister, CA  </t>
  </si>
  <si>
    <t>9R02-91009</t>
  </si>
  <si>
    <t>47132</t>
  </si>
  <si>
    <t xml:space="preserve">Lakes--Knik-Fairview--Wasilla, AK  </t>
  </si>
  <si>
    <t>0R04-00327</t>
  </si>
  <si>
    <t>54477</t>
  </si>
  <si>
    <t xml:space="preserve">Maricopa, AZ  </t>
  </si>
  <si>
    <t>9R01-91106</t>
  </si>
  <si>
    <t>57655</t>
  </si>
  <si>
    <t xml:space="preserve">Minot, ND  </t>
  </si>
  <si>
    <t>8R03-80303</t>
  </si>
  <si>
    <t>59194</t>
  </si>
  <si>
    <t xml:space="preserve">Morehead City, NC  </t>
  </si>
  <si>
    <t>4R06-40944</t>
  </si>
  <si>
    <t>62731</t>
  </si>
  <si>
    <t xml:space="preserve">New Philadelphia--Dover, OH  </t>
  </si>
  <si>
    <t>5R05-55328</t>
  </si>
  <si>
    <t>70480</t>
  </si>
  <si>
    <t xml:space="preserve">Poinciana, FL  </t>
  </si>
  <si>
    <t>74044</t>
  </si>
  <si>
    <t xml:space="preserve">Reedley--Dinuba, CA  </t>
  </si>
  <si>
    <t>9R02-91040</t>
  </si>
  <si>
    <t>75072</t>
  </si>
  <si>
    <t xml:space="preserve">Rio Grande City--Roma, TX  </t>
  </si>
  <si>
    <t>76447</t>
  </si>
  <si>
    <t xml:space="preserve">Roswell, NM  </t>
  </si>
  <si>
    <t>85033</t>
  </si>
  <si>
    <t xml:space="preserve">Stillwater, OK  </t>
  </si>
  <si>
    <t>6R04-60160</t>
  </si>
  <si>
    <t>88300</t>
  </si>
  <si>
    <t xml:space="preserve">Traverse City, MI  </t>
  </si>
  <si>
    <t>5R03-50413</t>
  </si>
  <si>
    <t>89245</t>
  </si>
  <si>
    <t xml:space="preserve">Twin Falls, ID  </t>
  </si>
  <si>
    <t>0R01-00357</t>
  </si>
  <si>
    <t>UACE10</t>
  </si>
  <si>
    <t>UZA_Name</t>
  </si>
  <si>
    <t>Population</t>
  </si>
  <si>
    <t>Total Vehicle Revenue Miles</t>
  </si>
  <si>
    <t>UZA State</t>
  </si>
  <si>
    <t>State_FIPS</t>
  </si>
  <si>
    <t>State_Name</t>
  </si>
  <si>
    <t>Part</t>
  </si>
  <si>
    <t>04</t>
  </si>
  <si>
    <t>Arizona</t>
  </si>
  <si>
    <t>P</t>
  </si>
  <si>
    <t>32</t>
  </si>
  <si>
    <t>Nevada</t>
  </si>
  <si>
    <t>Projected 2020 Bullhead UZA Population by State from Table 1 IDSER</t>
  </si>
  <si>
    <t>Pop %</t>
  </si>
  <si>
    <t>Assigned State</t>
  </si>
  <si>
    <t xml:space="preserve">AZ  </t>
  </si>
  <si>
    <t>01</t>
  </si>
  <si>
    <t>Alabama</t>
  </si>
  <si>
    <t>02</t>
  </si>
  <si>
    <t>Alaska</t>
  </si>
  <si>
    <t>05</t>
  </si>
  <si>
    <t>Arkansas</t>
  </si>
  <si>
    <t>06</t>
  </si>
  <si>
    <t>California</t>
  </si>
  <si>
    <t>08</t>
  </si>
  <si>
    <t>Colorado</t>
  </si>
  <si>
    <t>09</t>
  </si>
  <si>
    <t>Connecticut</t>
  </si>
  <si>
    <t>10</t>
  </si>
  <si>
    <t>Delaware</t>
  </si>
  <si>
    <t>11</t>
  </si>
  <si>
    <t>District of Columbia</t>
  </si>
  <si>
    <t>12</t>
  </si>
  <si>
    <t>Florida</t>
  </si>
  <si>
    <t>13</t>
  </si>
  <si>
    <t>Georgia</t>
  </si>
  <si>
    <t>15</t>
  </si>
  <si>
    <t>Hawaii</t>
  </si>
  <si>
    <t>16</t>
  </si>
  <si>
    <t>Idaho</t>
  </si>
  <si>
    <t>17</t>
  </si>
  <si>
    <t>Illinois</t>
  </si>
  <si>
    <t>18</t>
  </si>
  <si>
    <t>Indiana</t>
  </si>
  <si>
    <t>19</t>
  </si>
  <si>
    <t>Iowa</t>
  </si>
  <si>
    <t>20</t>
  </si>
  <si>
    <t>Kansas</t>
  </si>
  <si>
    <t>21</t>
  </si>
  <si>
    <t>Kentucky</t>
  </si>
  <si>
    <t>22</t>
  </si>
  <si>
    <t>Louisiana</t>
  </si>
  <si>
    <t>23</t>
  </si>
  <si>
    <t>Maine</t>
  </si>
  <si>
    <t>24</t>
  </si>
  <si>
    <t>Maryland</t>
  </si>
  <si>
    <t>25</t>
  </si>
  <si>
    <t>Massachusetts</t>
  </si>
  <si>
    <t>26</t>
  </si>
  <si>
    <t>Michigan</t>
  </si>
  <si>
    <t>27</t>
  </si>
  <si>
    <t>Minnesota</t>
  </si>
  <si>
    <t>28</t>
  </si>
  <si>
    <t>Mississippi</t>
  </si>
  <si>
    <t>29</t>
  </si>
  <si>
    <t>Missouri</t>
  </si>
  <si>
    <t>30</t>
  </si>
  <si>
    <t>Montana</t>
  </si>
  <si>
    <t>31</t>
  </si>
  <si>
    <t>Nebraska</t>
  </si>
  <si>
    <t>33</t>
  </si>
  <si>
    <t>New Hampshire</t>
  </si>
  <si>
    <t>34</t>
  </si>
  <si>
    <t>New Jersey</t>
  </si>
  <si>
    <t>35</t>
  </si>
  <si>
    <t>New Mexico</t>
  </si>
  <si>
    <t>36</t>
  </si>
  <si>
    <t>New York</t>
  </si>
  <si>
    <t>37</t>
  </si>
  <si>
    <t>North Carolina</t>
  </si>
  <si>
    <t>38</t>
  </si>
  <si>
    <t>North Dakota</t>
  </si>
  <si>
    <t>39</t>
  </si>
  <si>
    <t>Ohio</t>
  </si>
  <si>
    <t>40</t>
  </si>
  <si>
    <t>Oklahoma</t>
  </si>
  <si>
    <t>41</t>
  </si>
  <si>
    <t>Oregon</t>
  </si>
  <si>
    <t>42</t>
  </si>
  <si>
    <t>Pennsylvania</t>
  </si>
  <si>
    <t>44</t>
  </si>
  <si>
    <t>Rhode Island</t>
  </si>
  <si>
    <t>45</t>
  </si>
  <si>
    <t>South Carolina</t>
  </si>
  <si>
    <t>46</t>
  </si>
  <si>
    <t>South Dakota</t>
  </si>
  <si>
    <t>47</t>
  </si>
  <si>
    <t>Tennessee</t>
  </si>
  <si>
    <t>48</t>
  </si>
  <si>
    <t>Texas</t>
  </si>
  <si>
    <t>49</t>
  </si>
  <si>
    <t>Utah</t>
  </si>
  <si>
    <t>50</t>
  </si>
  <si>
    <t>Vermont</t>
  </si>
  <si>
    <t>51</t>
  </si>
  <si>
    <t>Virginia</t>
  </si>
  <si>
    <t>53</t>
  </si>
  <si>
    <t>Washington</t>
  </si>
  <si>
    <t>54</t>
  </si>
  <si>
    <t>West Virginia</t>
  </si>
  <si>
    <t>55</t>
  </si>
  <si>
    <t>Wisconsin</t>
  </si>
  <si>
    <t>56</t>
  </si>
  <si>
    <t>Wyoming</t>
  </si>
  <si>
    <t>72</t>
  </si>
  <si>
    <t>Puerto Rico</t>
  </si>
  <si>
    <t>60</t>
  </si>
  <si>
    <t>American Samoa</t>
  </si>
  <si>
    <t>66</t>
  </si>
  <si>
    <t>Guam</t>
  </si>
  <si>
    <t>69</t>
  </si>
  <si>
    <t>Northern Mariana Islands</t>
  </si>
  <si>
    <t>78</t>
  </si>
  <si>
    <t>U.S. Virgin Islands</t>
  </si>
  <si>
    <t>New UZA VRM to remove</t>
  </si>
  <si>
    <t>State Name</t>
  </si>
  <si>
    <t>21745</t>
  </si>
  <si>
    <t>Cumberland, MD--WV--PA</t>
  </si>
  <si>
    <t>22204</t>
  </si>
  <si>
    <t>Danville, IL--IN</t>
  </si>
  <si>
    <t>67807</t>
  </si>
  <si>
    <t>Pascagoula, MS</t>
  </si>
  <si>
    <t>69454</t>
  </si>
  <si>
    <t>Pine Bluff, AR</t>
  </si>
  <si>
    <t>81901</t>
  </si>
  <si>
    <t>Sierra Vista, AZ</t>
  </si>
  <si>
    <t>89650</t>
  </si>
  <si>
    <t>Uniontown--Connellsville, PA</t>
  </si>
  <si>
    <t>90658</t>
  </si>
  <si>
    <t>Villas, NJ</t>
  </si>
  <si>
    <t>Initial UZA Data</t>
  </si>
  <si>
    <t>STATE</t>
  </si>
  <si>
    <t>STATE_NAME</t>
  </si>
  <si>
    <t>UACE</t>
  </si>
  <si>
    <t>NAME</t>
  </si>
  <si>
    <t>PART</t>
  </si>
  <si>
    <t>UZA Part Data For State Allocation</t>
  </si>
  <si>
    <t>Other Multi-State UZAS not with multi-state population data</t>
  </si>
  <si>
    <t>Danville, IL</t>
  </si>
  <si>
    <t xml:space="preserve"> </t>
  </si>
  <si>
    <t>Final VRM Allocation UZA Data</t>
  </si>
  <si>
    <t>Total</t>
  </si>
  <si>
    <t>check</t>
  </si>
  <si>
    <t>Old UZA VRM to add</t>
  </si>
  <si>
    <t>Adjusted VRM</t>
  </si>
  <si>
    <t>cross check</t>
  </si>
  <si>
    <t>Original</t>
  </si>
  <si>
    <t>Removed</t>
  </si>
  <si>
    <t>Added</t>
  </si>
  <si>
    <t>New Total</t>
  </si>
  <si>
    <t>Adjustment Applied?</t>
  </si>
  <si>
    <t>6R03-60167</t>
  </si>
  <si>
    <t>City of Roswell</t>
  </si>
  <si>
    <t>NEW UZA: Beaufort--Port Royale, SC</t>
  </si>
  <si>
    <t>UZA-attributable population</t>
  </si>
  <si>
    <t>Beaufort</t>
  </si>
  <si>
    <t>Port Royal</t>
  </si>
  <si>
    <t>Allendale County</t>
  </si>
  <si>
    <t>Colleton</t>
  </si>
  <si>
    <t>Hampton</t>
  </si>
  <si>
    <t>Jasper</t>
  </si>
  <si>
    <t>% Population in Target UZA</t>
  </si>
  <si>
    <t>Value</t>
  </si>
  <si>
    <t>Service Area</t>
  </si>
  <si>
    <t>NFG VRM</t>
  </si>
  <si>
    <t>NFG PM</t>
  </si>
  <si>
    <t>NFG OpEx</t>
  </si>
  <si>
    <t>DRM</t>
  </si>
  <si>
    <t>FG VRM</t>
  </si>
  <si>
    <t>FG PM</t>
  </si>
  <si>
    <t>FG OpEx</t>
  </si>
  <si>
    <t>Commuter Rail?</t>
  </si>
  <si>
    <t>Total PM</t>
  </si>
  <si>
    <t>Total UPT</t>
  </si>
  <si>
    <t>Total VRM</t>
  </si>
  <si>
    <t>Total VRH</t>
  </si>
  <si>
    <t>Total VRM (no SSW for STIC)</t>
  </si>
  <si>
    <t>Total VRH (no SSW for STIC)</t>
  </si>
  <si>
    <t>Mode</t>
  </si>
  <si>
    <t>TOS</t>
  </si>
  <si>
    <t>CB</t>
  </si>
  <si>
    <t>DR</t>
  </si>
  <si>
    <t>DO</t>
  </si>
  <si>
    <t>No</t>
  </si>
  <si>
    <t>4R07-41092</t>
  </si>
  <si>
    <t>Lowcountry Regional Transportation Authority</t>
  </si>
  <si>
    <t>Service Data Allocated to new UZA</t>
  </si>
  <si>
    <t>Service Data from NTD 2018 FFA</t>
  </si>
  <si>
    <t>Population Data from U.S. Census 2019 5-year Estimates</t>
  </si>
  <si>
    <t>Sum PM</t>
  </si>
  <si>
    <t>Sum UPT</t>
  </si>
  <si>
    <t>APTL</t>
  </si>
  <si>
    <t>Count Complete</t>
  </si>
  <si>
    <t>DT</t>
  </si>
  <si>
    <t>FB</t>
  </si>
  <si>
    <t>MB</t>
  </si>
  <si>
    <t>SR</t>
  </si>
  <si>
    <t>TB</t>
  </si>
  <si>
    <t>VP</t>
  </si>
  <si>
    <t>RB</t>
  </si>
  <si>
    <t>LR</t>
  </si>
  <si>
    <t>YR</t>
  </si>
  <si>
    <t>MG</t>
  </si>
  <si>
    <t>CR</t>
  </si>
  <si>
    <t>AR</t>
  </si>
  <si>
    <t>TR</t>
  </si>
  <si>
    <t>HR</t>
  </si>
  <si>
    <t>IP</t>
  </si>
  <si>
    <t>PB</t>
  </si>
  <si>
    <t>CC</t>
  </si>
  <si>
    <t>From the NTD FFA table, based on records with &gt;0 UPT and &gt;0 PTM only, resulting in 1968 samples.</t>
  </si>
  <si>
    <t xml:space="preserve">see </t>
  </si>
  <si>
    <t>Calculate APTLs.xlsx</t>
  </si>
  <si>
    <t>Total speed check</t>
  </si>
  <si>
    <t>NFG Cost Check</t>
  </si>
  <si>
    <t>NEW UZA: Cookeville, TN</t>
  </si>
  <si>
    <t xml:space="preserve">Upper-Cumberland Human Resource Agency </t>
  </si>
  <si>
    <t>APTL Check</t>
  </si>
  <si>
    <t>Cannon</t>
  </si>
  <si>
    <t>Clay</t>
  </si>
  <si>
    <t>Cumberland</t>
  </si>
  <si>
    <t>DeKalb</t>
  </si>
  <si>
    <t>Fentress</t>
  </si>
  <si>
    <t>Jackson</t>
  </si>
  <si>
    <t>Macon</t>
  </si>
  <si>
    <t>Overton</t>
  </si>
  <si>
    <t>Pickett</t>
  </si>
  <si>
    <t>Putnam</t>
  </si>
  <si>
    <t>Smith</t>
  </si>
  <si>
    <t>Van Buren</t>
  </si>
  <si>
    <t>Warren</t>
  </si>
  <si>
    <t>White</t>
  </si>
  <si>
    <t>Cookeville, TN</t>
  </si>
  <si>
    <t>50,000 check</t>
  </si>
  <si>
    <t>NEW UZA: Eagle Pass, TX</t>
  </si>
  <si>
    <t>Southwest Area Regional Transit District</t>
  </si>
  <si>
    <t>Projected Population Data for 2020</t>
  </si>
  <si>
    <t>SWART Rural</t>
  </si>
  <si>
    <t>SWART Urban (Eagle Pass)</t>
  </si>
  <si>
    <t>Eagle Pass, TX UZA</t>
  </si>
  <si>
    <t>NEW UZA: Hilo, HI</t>
  </si>
  <si>
    <t>County of Hawaii Mass Transit Agency</t>
  </si>
  <si>
    <t>PT</t>
  </si>
  <si>
    <t>Hawaii County</t>
  </si>
  <si>
    <t>Hilo, HI</t>
  </si>
  <si>
    <t>UZA Code</t>
  </si>
  <si>
    <t>NEW UZA: Hollister, CA</t>
  </si>
  <si>
    <t>San Benito County LTA</t>
  </si>
  <si>
    <t>Hollister, CA</t>
  </si>
  <si>
    <t>San Benito County</t>
  </si>
  <si>
    <t>http://www.sanbenitocountyexpress.org/info.html</t>
  </si>
  <si>
    <t>NEW UZA: Lakes--Knik-Fairview--Wasilla, AK</t>
  </si>
  <si>
    <t>Valley Transit</t>
  </si>
  <si>
    <t>http://www.valleytransitak.org/</t>
  </si>
  <si>
    <t>Port MacKenzie</t>
  </si>
  <si>
    <t>Big Lake</t>
  </si>
  <si>
    <t>Houston</t>
  </si>
  <si>
    <t>Wasilla</t>
  </si>
  <si>
    <t>Palmer</t>
  </si>
  <si>
    <t>Butte</t>
  </si>
  <si>
    <t>Meadow Lakes</t>
  </si>
  <si>
    <t>Knik Goose Bay-Fairview</t>
  </si>
  <si>
    <t>point mackenzie</t>
  </si>
  <si>
    <t>http://www.valleytransitak.org/ride-the-bus/</t>
  </si>
  <si>
    <t>NEW UZA: New Philadelphia--Dover, OH</t>
  </si>
  <si>
    <t>Horizons of Tuscarawas &amp; Carroll Counties</t>
  </si>
  <si>
    <t>Tuscarawas County</t>
  </si>
  <si>
    <t>Carroll County</t>
  </si>
  <si>
    <t>New Philadelphia</t>
  </si>
  <si>
    <t>Dover</t>
  </si>
  <si>
    <t>NEW UZA: Rio Grande, TX</t>
  </si>
  <si>
    <t>Lower Rio Grande Valley Development Council</t>
  </si>
  <si>
    <t>for</t>
  </si>
  <si>
    <t>Texas Non-UZA Only</t>
  </si>
  <si>
    <t>Rio Grande City (UZA)</t>
  </si>
  <si>
    <t>Lower Rio Grande Valley Rural</t>
  </si>
  <si>
    <t>NEW UZA: Traverse City, MI</t>
  </si>
  <si>
    <t>Bay Area Transportation Authority</t>
  </si>
  <si>
    <t>https://www.bata.net/about-us/</t>
  </si>
  <si>
    <t>Leelanau County</t>
  </si>
  <si>
    <t>Grand Traverse County</t>
  </si>
  <si>
    <t>Traverse City</t>
  </si>
  <si>
    <t>NEW UZA: Boseman, MT</t>
  </si>
  <si>
    <t>Human Resource Development Council District IX, Inc.</t>
  </si>
  <si>
    <t>NO</t>
  </si>
  <si>
    <t xml:space="preserve">NEW UZA: </t>
  </si>
  <si>
    <t xml:space="preserve">NEW UZA: Bullhead City, AZ--NV  </t>
  </si>
  <si>
    <t>City of Bullhead</t>
  </si>
  <si>
    <t>NEW UZA:   Enid, OK</t>
  </si>
  <si>
    <t>Enid Public Transportation Authority</t>
  </si>
  <si>
    <t xml:space="preserve">NEW UZA: Maricopa, AZ  </t>
  </si>
  <si>
    <t>City of Maricopa</t>
  </si>
  <si>
    <t>NEW UZA: Minot, ND</t>
  </si>
  <si>
    <t xml:space="preserve">City of Minot </t>
  </si>
  <si>
    <t>NEW UZA: Morehead City, ND</t>
  </si>
  <si>
    <t>Carteret County</t>
  </si>
  <si>
    <t>NEW UZA: Reedley--Dinuba, CA</t>
  </si>
  <si>
    <t>CIty of Dinuba</t>
  </si>
  <si>
    <t xml:space="preserve">NEW UZA: Roswell, NM </t>
  </si>
  <si>
    <t xml:space="preserve">NEW UZA: Stillwater, OK  </t>
  </si>
  <si>
    <t>OSU-Stillwater Community Transit</t>
  </si>
  <si>
    <t xml:space="preserve">NEW UZA: Twin Falls, ID  </t>
  </si>
  <si>
    <t>TransIV Buses - College of Southern Idaho</t>
  </si>
  <si>
    <t>Non-Fixed Guideway Vehicle Revenue Miles</t>
  </si>
  <si>
    <t>Non-Fixed Guideway Passenger Miles</t>
  </si>
  <si>
    <t>Non-Fixed Guideway Operating Expenses</t>
  </si>
  <si>
    <t>Directional Route Miles</t>
  </si>
  <si>
    <t>Fixed Guideway Vehicle Revenue Miles</t>
  </si>
  <si>
    <t>Fixed Guideway Passenger Miles</t>
  </si>
  <si>
    <t>Fixed Guideway Operating Expenses</t>
  </si>
  <si>
    <t>Total Passenger Miles Traveled</t>
  </si>
  <si>
    <t>Total Unlinked Passenger Trips</t>
  </si>
  <si>
    <t>Total Vehicle Revenue Hours</t>
  </si>
  <si>
    <t>Total Vehicle Revenue Miles (no SSW for STIC)</t>
  </si>
  <si>
    <t>Total Vehicle Revenue Hours (no SSW for STIC)</t>
  </si>
  <si>
    <t>Estimated using new UZA average</t>
  </si>
  <si>
    <t>TDID</t>
  </si>
  <si>
    <t>TDID2</t>
  </si>
  <si>
    <t>TransitDistrict</t>
  </si>
  <si>
    <t>R26</t>
  </si>
  <si>
    <t>U20</t>
  </si>
  <si>
    <t>Southwest Area Regional Transit District (Eagle Pass)</t>
  </si>
  <si>
    <t>Census 2020 Data</t>
  </si>
  <si>
    <t>LandArea (Sq. Mi)</t>
  </si>
  <si>
    <t>Local $ 2019</t>
  </si>
  <si>
    <t>Op. Costs 2019</t>
  </si>
  <si>
    <t>Riders 2019</t>
  </si>
  <si>
    <t>Rev. Miles 2019</t>
  </si>
  <si>
    <t>Veh. Miles 2019</t>
  </si>
  <si>
    <t>Veh. Miles 2018</t>
  </si>
  <si>
    <t>Local $ 2018</t>
  </si>
  <si>
    <t>Op. Costs 2018</t>
  </si>
  <si>
    <t>Riders 2018</t>
  </si>
  <si>
    <t>Rev. Miles 2018</t>
  </si>
  <si>
    <t>FY19 State Fund Alloc</t>
  </si>
  <si>
    <t>FY19 5311 N&amp;P Allocation</t>
  </si>
  <si>
    <t>FY2020 Data (Census 2010)</t>
  </si>
  <si>
    <t>Southwest Regional Transit District</t>
  </si>
  <si>
    <t>for 5311 VM</t>
  </si>
  <si>
    <t>diff</t>
  </si>
  <si>
    <t>Lower-Rio Grande Development Council</t>
  </si>
  <si>
    <t>UR06</t>
  </si>
  <si>
    <t>Lower Rio Grande Valley Development Council (Rural)</t>
  </si>
  <si>
    <t>Lower Rio Grande Valley Development Council (Rio Grande)</t>
  </si>
  <si>
    <t>UR06R01</t>
  </si>
  <si>
    <t>UR06U03</t>
  </si>
  <si>
    <t>Allocated Miles to Add to State</t>
  </si>
  <si>
    <t>2010 POP</t>
  </si>
  <si>
    <t>Initial Data (pre-Census)</t>
  </si>
  <si>
    <t>Non-UZA Vehicle Revenue Miles (from 2018 NTD)</t>
  </si>
  <si>
    <t>Revised Data (Post-Census)</t>
  </si>
  <si>
    <t>Estimated Vehicle Miles Data (from New UZA Analyses Tab)</t>
  </si>
  <si>
    <t>Exsting Transit Agency NTD ID</t>
  </si>
  <si>
    <t>New UZA Name</t>
  </si>
  <si>
    <t>VRM to Remove from State</t>
  </si>
  <si>
    <t>New UZA Vehicle Miles Data to Remove from States</t>
  </si>
  <si>
    <t>Data for new UZAs from New UZA Analyses, after allocating service data for all UZAs with identifiable current providers</t>
  </si>
  <si>
    <t>UZAs with no identifiable providers</t>
  </si>
  <si>
    <t>Census 2010 Population Parts</t>
  </si>
  <si>
    <t>UZA-State Part Name</t>
  </si>
  <si>
    <t>2020 Population</t>
  </si>
  <si>
    <t>Lake Tahoe Region CA-NV: CA</t>
  </si>
  <si>
    <t>Lake Tahoe Region CA-NV: NV</t>
  </si>
  <si>
    <t>Allocation</t>
  </si>
  <si>
    <t>Total Population</t>
  </si>
  <si>
    <t>Non-UZA Population</t>
  </si>
  <si>
    <t>Non-UZA Land Area (Sq. Mi)</t>
  </si>
  <si>
    <t>Non-UZA Population Density</t>
  </si>
  <si>
    <t>Non-UZA Low-Income Population</t>
  </si>
  <si>
    <t>Non-UZA Seniors (65 years and over)</t>
  </si>
  <si>
    <t>Non-UZA Individuals Aged Under 65 with Disabilities</t>
  </si>
  <si>
    <t>Non-UZA Vehicle Revenue Miles</t>
  </si>
  <si>
    <t>Small UZA Population</t>
  </si>
  <si>
    <t>Small UZA Land Area (Sq. Mi)</t>
  </si>
  <si>
    <t>Small UZA Population Density</t>
  </si>
  <si>
    <t xml:space="preserve">Small UZA Low-Income </t>
  </si>
  <si>
    <t>Small UZA Seniors (65 years and over)</t>
  </si>
  <si>
    <t>Small UZA Individuals Aged Under 65 with Disabilities</t>
  </si>
  <si>
    <t>Total Projected  Population in 2035</t>
  </si>
  <si>
    <t>UZA Population</t>
  </si>
  <si>
    <t>State Land Area</t>
  </si>
  <si>
    <t>State Pop Density</t>
  </si>
  <si>
    <t>Check</t>
  </si>
  <si>
    <t>Total Projected Non-UZA Population in 2035 (non-UZA # trend)</t>
  </si>
  <si>
    <t>Original State-Level Input Data (Population / Demographics from IDSER Projections)</t>
  </si>
  <si>
    <t>Revised Post-Census Data (handling reclassification of Lake Tahoe)</t>
  </si>
  <si>
    <t>allocation?</t>
  </si>
  <si>
    <t>no</t>
  </si>
  <si>
    <t>subtract</t>
  </si>
  <si>
    <t>recalc</t>
  </si>
  <si>
    <t>subract</t>
  </si>
  <si>
    <t>add</t>
  </si>
  <si>
    <t>check total pop</t>
  </si>
  <si>
    <t>Land Area (Sq. Mi)</t>
  </si>
  <si>
    <t>Population Density</t>
  </si>
  <si>
    <t>Low-Income Population</t>
  </si>
  <si>
    <t>Seniors (65 years and over)</t>
  </si>
  <si>
    <t>Individuals Aged Under 65 with Disabilities</t>
  </si>
  <si>
    <t>updated forecast based on new 2020 non-UZA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</si>
</sst>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.0"/>
    <numFmt numFmtId="167" formatCode="0.0%"/>
    <numFmt numFmtId="168" formatCode="&quot;$&quot;#,##0.00"/>
    <numFmt numFmtId="169" formatCode="0.0"/>
    <numFmt numFmtId="170" formatCode="0000#"/>
    <numFmt numFmtId="171" formatCode="_(&quot;$&quot;* #,##0_);_(&quot;$&quot;* \(#,##0\);_(&quot;$&quot;* &quot;-&quot;??_);_(@_)"/>
    <numFmt numFmtId="172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164" fontId="0" fillId="0" borderId="0" xfId="0" applyNumberFormat="1"/>
    <xf numFmtId="3" fontId="0" fillId="0" borderId="0" xfId="0" applyNumberFormat="1"/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/>
    <xf numFmtId="49" fontId="0" fillId="0" borderId="3" xfId="0" applyNumberFormat="1" applyBorder="1"/>
    <xf numFmtId="0" fontId="0" fillId="0" borderId="3" xfId="0" applyBorder="1"/>
    <xf numFmtId="37" fontId="0" fillId="0" borderId="3" xfId="1" applyNumberFormat="1" applyFont="1" applyBorder="1"/>
    <xf numFmtId="0" fontId="2" fillId="0" borderId="3" xfId="0" applyFont="1" applyFill="1" applyBorder="1" applyAlignment="1">
      <alignment vertical="top" wrapText="1"/>
    </xf>
    <xf numFmtId="10" fontId="0" fillId="0" borderId="0" xfId="2" applyNumberFormat="1" applyFont="1"/>
    <xf numFmtId="0" fontId="0" fillId="0" borderId="0" xfId="0" applyAlignment="1">
      <alignment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/>
    <xf numFmtId="0" fontId="0" fillId="0" borderId="0" xfId="0" applyAlignment="1"/>
    <xf numFmtId="164" fontId="0" fillId="0" borderId="0" xfId="0" applyNumberFormat="1" applyAlignment="1">
      <alignment wrapText="1"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/>
    <xf numFmtId="49" fontId="0" fillId="0" borderId="0" xfId="0" quotePrefix="1" applyNumberFormat="1" applyAlignment="1"/>
    <xf numFmtId="0" fontId="6" fillId="0" borderId="0" xfId="0" applyFont="1"/>
    <xf numFmtId="0" fontId="2" fillId="0" borderId="0" xfId="0" applyFont="1"/>
    <xf numFmtId="1" fontId="0" fillId="0" borderId="0" xfId="0" applyNumberFormat="1"/>
    <xf numFmtId="164" fontId="7" fillId="0" borderId="0" xfId="0" applyNumberFormat="1" applyFont="1"/>
    <xf numFmtId="0" fontId="7" fillId="0" borderId="0" xfId="0" applyFont="1"/>
    <xf numFmtId="165" fontId="0" fillId="0" borderId="0" xfId="0" applyNumberFormat="1"/>
    <xf numFmtId="166" fontId="0" fillId="0" borderId="0" xfId="0" applyNumberFormat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6" xfId="0" applyBorder="1"/>
    <xf numFmtId="3" fontId="0" fillId="0" borderId="6" xfId="0" applyNumberFormat="1" applyBorder="1"/>
    <xf numFmtId="167" fontId="0" fillId="0" borderId="0" xfId="2" applyNumberFormat="1" applyFont="1"/>
    <xf numFmtId="2" fontId="0" fillId="0" borderId="0" xfId="0" applyNumberFormat="1"/>
    <xf numFmtId="0" fontId="8" fillId="0" borderId="0" xfId="3"/>
    <xf numFmtId="0" fontId="0" fillId="0" borderId="0" xfId="0" applyFill="1" applyBorder="1"/>
    <xf numFmtId="0" fontId="0" fillId="0" borderId="0" xfId="0" applyFill="1" applyBorder="1" applyAlignment="1">
      <alignment wrapText="1"/>
    </xf>
    <xf numFmtId="168" fontId="0" fillId="0" borderId="0" xfId="0" applyNumberFormat="1"/>
    <xf numFmtId="169" fontId="0" fillId="0" borderId="0" xfId="0" applyNumberFormat="1"/>
    <xf numFmtId="0" fontId="0" fillId="0" borderId="0" xfId="0" applyBorder="1"/>
    <xf numFmtId="0" fontId="0" fillId="0" borderId="0" xfId="0" applyBorder="1" applyAlignment="1">
      <alignment wrapText="1"/>
    </xf>
    <xf numFmtId="168" fontId="0" fillId="0" borderId="6" xfId="0" applyNumberFormat="1" applyBorder="1"/>
    <xf numFmtId="169" fontId="0" fillId="0" borderId="6" xfId="0" applyNumberFormat="1" applyBorder="1"/>
    <xf numFmtId="0" fontId="0" fillId="3" borderId="0" xfId="0" applyFill="1"/>
    <xf numFmtId="3" fontId="0" fillId="0" borderId="0" xfId="0" applyNumberFormat="1" applyBorder="1"/>
    <xf numFmtId="164" fontId="0" fillId="0" borderId="0" xfId="0" applyNumberFormat="1" applyBorder="1"/>
    <xf numFmtId="170" fontId="0" fillId="0" borderId="0" xfId="0" applyNumberFormat="1"/>
    <xf numFmtId="0" fontId="0" fillId="0" borderId="6" xfId="0" quotePrefix="1" applyBorder="1"/>
    <xf numFmtId="0" fontId="0" fillId="0" borderId="0" xfId="0" quotePrefix="1" applyBorder="1"/>
    <xf numFmtId="168" fontId="0" fillId="0" borderId="0" xfId="0" applyNumberFormat="1" applyBorder="1"/>
    <xf numFmtId="169" fontId="0" fillId="0" borderId="0" xfId="0" applyNumberFormat="1" applyBorder="1"/>
    <xf numFmtId="0" fontId="0" fillId="4" borderId="0" xfId="0" applyFill="1"/>
    <xf numFmtId="49" fontId="0" fillId="4" borderId="0" xfId="0" applyNumberFormat="1" applyFill="1"/>
    <xf numFmtId="171" fontId="0" fillId="0" borderId="0" xfId="0" applyNumberFormat="1"/>
    <xf numFmtId="0" fontId="9" fillId="0" borderId="0" xfId="5" applyFont="1" applyAlignment="1">
      <alignment vertical="top" wrapText="1"/>
    </xf>
    <xf numFmtId="0" fontId="10" fillId="2" borderId="0" xfId="5" applyFont="1" applyFill="1" applyAlignment="1">
      <alignment vertical="top" wrapText="1"/>
    </xf>
    <xf numFmtId="0" fontId="11" fillId="0" borderId="0" xfId="5" applyFont="1"/>
    <xf numFmtId="0" fontId="11" fillId="5" borderId="0" xfId="5" applyFont="1" applyFill="1"/>
    <xf numFmtId="164" fontId="10" fillId="2" borderId="0" xfId="1" applyNumberFormat="1" applyFont="1" applyFill="1" applyAlignment="1">
      <alignment vertical="top" wrapText="1"/>
    </xf>
    <xf numFmtId="164" fontId="11" fillId="0" borderId="0" xfId="1" applyNumberFormat="1" applyFont="1"/>
    <xf numFmtId="164" fontId="11" fillId="5" borderId="0" xfId="1" applyNumberFormat="1" applyFont="1" applyFill="1"/>
    <xf numFmtId="171" fontId="10" fillId="2" borderId="0" xfId="4" applyNumberFormat="1" applyFont="1" applyFill="1" applyAlignment="1">
      <alignment vertical="top" wrapText="1"/>
    </xf>
    <xf numFmtId="0" fontId="12" fillId="0" borderId="0" xfId="0" applyFont="1"/>
    <xf numFmtId="164" fontId="12" fillId="0" borderId="0" xfId="0" applyNumberFormat="1" applyFont="1"/>
    <xf numFmtId="0" fontId="0" fillId="6" borderId="0" xfId="0" applyFill="1"/>
    <xf numFmtId="0" fontId="11" fillId="0" borderId="0" xfId="0" applyFont="1"/>
    <xf numFmtId="164" fontId="11" fillId="0" borderId="0" xfId="1" applyNumberFormat="1" applyFont="1" applyBorder="1"/>
    <xf numFmtId="171" fontId="11" fillId="0" borderId="0" xfId="4" applyNumberFormat="1" applyFont="1" applyBorder="1"/>
    <xf numFmtId="164" fontId="11" fillId="7" borderId="0" xfId="1" applyNumberFormat="1" applyFont="1" applyFill="1"/>
    <xf numFmtId="171" fontId="13" fillId="7" borderId="0" xfId="0" applyNumberFormat="1" applyFont="1" applyFill="1"/>
    <xf numFmtId="171" fontId="11" fillId="7" borderId="0" xfId="1" applyNumberFormat="1" applyFont="1" applyFill="1"/>
    <xf numFmtId="164" fontId="13" fillId="7" borderId="0" xfId="0" applyNumberFormat="1" applyFont="1" applyFill="1"/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43" fontId="2" fillId="0" borderId="0" xfId="0" applyNumberFormat="1" applyFont="1" applyAlignment="1">
      <alignment wrapText="1"/>
    </xf>
    <xf numFmtId="171" fontId="2" fillId="0" borderId="0" xfId="0" applyNumberFormat="1" applyFont="1" applyAlignment="1">
      <alignment wrapText="1"/>
    </xf>
    <xf numFmtId="3" fontId="6" fillId="0" borderId="0" xfId="0" applyNumberFormat="1" applyFont="1"/>
    <xf numFmtId="3" fontId="2" fillId="0" borderId="0" xfId="0" applyNumberFormat="1" applyFont="1"/>
    <xf numFmtId="0" fontId="0" fillId="0" borderId="7" xfId="0" applyBorder="1"/>
    <xf numFmtId="0" fontId="2" fillId="0" borderId="7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4" fillId="8" borderId="8" xfId="1" applyNumberFormat="1" applyFont="1" applyFill="1" applyBorder="1" applyAlignment="1">
      <alignment horizontal="center"/>
    </xf>
    <xf numFmtId="164" fontId="14" fillId="8" borderId="8" xfId="1" applyNumberFormat="1" applyFont="1" applyFill="1" applyBorder="1" applyAlignment="1">
      <alignment horizontal="center"/>
    </xf>
    <xf numFmtId="0" fontId="13" fillId="9" borderId="0" xfId="0" applyFont="1" applyFill="1"/>
    <xf numFmtId="0" fontId="0" fillId="9" borderId="0" xfId="0" applyFill="1"/>
    <xf numFmtId="9" fontId="0" fillId="0" borderId="0" xfId="2" applyFont="1"/>
    <xf numFmtId="164" fontId="15" fillId="0" borderId="0" xfId="1" applyNumberFormat="1" applyFont="1" applyAlignment="1">
      <alignment vertical="top" wrapText="1"/>
    </xf>
    <xf numFmtId="164" fontId="15" fillId="2" borderId="0" xfId="1" applyNumberFormat="1" applyFont="1" applyFill="1" applyAlignment="1">
      <alignment vertical="top" wrapText="1"/>
    </xf>
    <xf numFmtId="164" fontId="15" fillId="6" borderId="0" xfId="1" applyNumberFormat="1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164" fontId="15" fillId="0" borderId="0" xfId="1" applyNumberFormat="1" applyFont="1" applyAlignment="1">
      <alignment wrapText="1"/>
    </xf>
    <xf numFmtId="164" fontId="15" fillId="0" borderId="0" xfId="1" applyNumberFormat="1" applyFont="1"/>
    <xf numFmtId="0" fontId="17" fillId="0" borderId="0" xfId="0" applyFont="1"/>
    <xf numFmtId="164" fontId="2" fillId="2" borderId="0" xfId="1" applyNumberFormat="1" applyFont="1" applyFill="1" applyAlignment="1">
      <alignment vertical="top" wrapText="1"/>
    </xf>
    <xf numFmtId="172" fontId="2" fillId="2" borderId="0" xfId="1" applyNumberFormat="1" applyFont="1" applyFill="1" applyAlignment="1">
      <alignment vertical="top" wrapText="1"/>
    </xf>
    <xf numFmtId="37" fontId="0" fillId="10" borderId="0" xfId="1" applyNumberFormat="1" applyFont="1" applyFill="1"/>
    <xf numFmtId="3" fontId="0" fillId="10" borderId="0" xfId="1" applyNumberFormat="1" applyFont="1" applyFill="1"/>
    <xf numFmtId="3" fontId="0" fillId="11" borderId="0" xfId="1" applyNumberFormat="1" applyFont="1" applyFill="1"/>
    <xf numFmtId="0" fontId="18" fillId="0" borderId="0" xfId="0" applyFont="1"/>
    <xf numFmtId="169" fontId="18" fillId="0" borderId="0" xfId="0" applyNumberFormat="1" applyFont="1"/>
    <xf numFmtId="0" fontId="19" fillId="0" borderId="0" xfId="0" applyFont="1"/>
    <xf numFmtId="43" fontId="0" fillId="0" borderId="0" xfId="0" applyNumberForma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urrency" xfId="4" builtinId="4"/>
    <cellStyle name="Hyperlink" xfId="3" builtinId="8"/>
    <cellStyle name="Normal" xfId="0" builtinId="0"/>
    <cellStyle name="Normal 2 3" xfId="5" xr:uid="{E6E488DA-D967-4B55-BFA1-8AA94FC0323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160</xdr:row>
      <xdr:rowOff>161926</xdr:rowOff>
    </xdr:from>
    <xdr:to>
      <xdr:col>10</xdr:col>
      <xdr:colOff>678142</xdr:colOff>
      <xdr:row>176</xdr:row>
      <xdr:rowOff>95251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35606-6147-4E35-8C5B-E207E8B2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5032951"/>
          <a:ext cx="4380192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412750</xdr:colOff>
      <xdr:row>259</xdr:row>
      <xdr:rowOff>174952</xdr:rowOff>
    </xdr:from>
    <xdr:to>
      <xdr:col>14</xdr:col>
      <xdr:colOff>571784</xdr:colOff>
      <xdr:row>270</xdr:row>
      <xdr:rowOff>148167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B8EBD46-8B8D-4DC5-9C77-024503E18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0" y="56340702"/>
          <a:ext cx="7228701" cy="207929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alk, Michael" id="{7E51BC42-B32F-4089-BF99-3BCAFF05D5F3}" userId="S::M-Walk@tti.tamu.edu::2815e292-fbd2-43bc-8437-f7c8a8a3ac1b" providerId="AD"/>
  <person displayName="Hwang, Jinuk" id="{011E75DC-48D4-42D7-84F5-8CC1686304AC}" userId="S::J-Hwang@tti.tamu.edu::0913b2b1-ddf7-4cd0-8498-ff802bb081d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11" dT="2021-06-24T03:49:11.97" personId="{7E51BC42-B32F-4089-BF99-3BCAFF05D5F3}" id="{65CDCA9A-3667-4131-8CB5-F9FBEBA0EAC6}">
    <text>These are for funding stability guarantees -- no values should be applied to new transit district</text>
  </threadedComment>
  <threadedComment ref="P25" dT="2021-06-24T03:49:11.97" personId="{7E51BC42-B32F-4089-BF99-3BCAFF05D5F3}" id="{9088CD11-155F-45AC-BFEE-647C347D1E82}">
    <text>These are for funding stability guarantees -- no values should be applied to new transit district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7" dT="2020-12-01T21:43:28.13" personId="{7E51BC42-B32F-4089-BF99-3BCAFF05D5F3}" id="{864CB9F4-B38F-4F3C-A70B-13B1041384FD}">
    <text>from STIC table</text>
  </threadedComment>
  <threadedComment ref="H7" dT="2020-12-01T21:43:47.37" personId="{7E51BC42-B32F-4089-BF99-3BCAFF05D5F3}" id="{A0AAFF47-B80B-43B5-938F-AE54C2A84F30}">
    <text>from FTA tables for UZAs</text>
  </threadedComment>
  <threadedComment ref="J10" dT="2021-01-20T20:47:19.72" personId="{011E75DC-48D4-42D7-84F5-8CC1686304AC}" id="{D9764E6B-803B-4C0B-B6B4-C229E8BE9D12}">
    <text>"2020 Urban-Rural NTD Data Swap.xlsx" &lt;States States&gt; tab</text>
  </threadedComment>
  <threadedComment ref="J10" dT="2021-06-24T01:16:22.23" personId="{7E51BC42-B32F-4089-BF99-3BCAFF05D5F3}" id="{20574004-9969-4084-A26C-D7B7BA0A5B0B}" parentId="{D9764E6B-803B-4C0B-B6B4-C229E8BE9D12}">
    <text>Adjusted to account for new UZAs (reducing non-UZA state VRM) and for UZAs becoming rural (increasing non-UZA state VRM)</text>
  </threadedComment>
  <threadedComment ref="Q10" dT="2021-01-20T23:37:28.92" personId="{011E75DC-48D4-42D7-84F5-8CC1686304AC}" id="{54019B06-BA3C-4901-B699-70C3F3799B29}">
    <text>From "State Projected Populations for 5340v2.xlsx" &lt;Pop Calc.&gt; tab</text>
  </threadedComment>
  <threadedComment ref="S10" dT="2020-12-30T16:57:48.76" personId="{7E51BC42-B32F-4089-BF99-3BCAFF05D5F3}" id="{E85FF432-8A2B-4E49-9DFE-42FE28130D8F}">
    <text>from State Areas workbook</text>
  </threadedComment>
  <threadedComment ref="J15" dT="2021-06-28T21:36:05.03" personId="{7E51BC42-B32F-4089-BF99-3BCAFF05D5F3}" id="{C2F18EF6-14BF-4AC3-A7C6-D5E766BF5FB8}">
    <text>Does not require subtraction, because 2010 service data treated Lake Tahoe as UZA</text>
  </threadedComment>
  <threadedComment ref="Q16" dT="2021-01-20T23:37:28.92" personId="{011E75DC-48D4-42D7-84F5-8CC1686304AC}" id="{2CF81E15-43C5-46E3-8EB0-FE5CA35A8505}">
    <text>From "State Projected Populations for 5340v2.xlsx" &lt;Pop Calc.&gt; tab</text>
  </threadedComment>
  <threadedComment ref="S16" dT="2020-12-30T16:57:48.76" personId="{7E51BC42-B32F-4089-BF99-3BCAFF05D5F3}" id="{459EB545-D0BC-43AE-96B8-CE3ADEF98C58}">
    <text>from State Areas workbook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:x:/s/Census2020/EavNNc3GDwZKp98ylNI3OpcB8tnt7L6nucdR7xVSwCva5A?e=xejw22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54AD0-2ECC-4880-B5DB-7DAA0B7C18E1}">
  <dimension ref="A1:J29"/>
  <sheetViews>
    <sheetView tabSelected="1" zoomScale="85" zoomScaleNormal="85" workbookViewId="0">
      <selection activeCell="M26" sqref="M26"/>
    </sheetView>
  </sheetViews>
  <sheetFormatPr defaultRowHeight="15" x14ac:dyDescent="0.25"/>
  <cols>
    <col min="2" max="2" width="28.5703125" bestFit="1" customWidth="1"/>
    <col min="3" max="3" width="11.5703125" bestFit="1" customWidth="1"/>
    <col min="4" max="4" width="32.7109375" customWidth="1"/>
    <col min="5" max="5" width="12.5703125" bestFit="1" customWidth="1"/>
    <col min="6" max="6" width="10.5703125" customWidth="1"/>
    <col min="7" max="7" width="12.42578125" bestFit="1" customWidth="1"/>
    <col min="8" max="8" width="11.5703125" customWidth="1"/>
    <col min="9" max="9" width="14.7109375" bestFit="1" customWidth="1"/>
    <col min="10" max="10" width="15.5703125" customWidth="1"/>
  </cols>
  <sheetData>
    <row r="1" spans="1:10" ht="15.75" x14ac:dyDescent="0.25">
      <c r="A1" s="112" t="s">
        <v>420</v>
      </c>
      <c r="B1" s="112"/>
      <c r="C1" s="112"/>
      <c r="D1" s="112"/>
      <c r="E1" s="112"/>
      <c r="F1" s="112" t="s">
        <v>424</v>
      </c>
      <c r="G1" s="112"/>
      <c r="H1" s="112"/>
      <c r="I1" s="112"/>
      <c r="J1" s="112"/>
    </row>
    <row r="2" spans="1:10" ht="60" x14ac:dyDescent="0.25">
      <c r="A2" s="3" t="s">
        <v>58</v>
      </c>
      <c r="B2" s="4" t="s">
        <v>422</v>
      </c>
      <c r="C2" s="5" t="s">
        <v>61</v>
      </c>
      <c r="D2" s="5" t="s">
        <v>421</v>
      </c>
      <c r="G2" s="26" t="s">
        <v>62</v>
      </c>
      <c r="H2" s="81" t="s">
        <v>73</v>
      </c>
      <c r="I2" s="26" t="s">
        <v>184</v>
      </c>
      <c r="J2" s="81" t="s">
        <v>423</v>
      </c>
    </row>
    <row r="3" spans="1:10" x14ac:dyDescent="0.25">
      <c r="A3" t="s">
        <v>0</v>
      </c>
      <c r="B3" t="s">
        <v>1</v>
      </c>
      <c r="C3" s="2">
        <v>119114.69514065071</v>
      </c>
      <c r="D3" s="80" t="s">
        <v>253</v>
      </c>
      <c r="G3" t="str">
        <f t="shared" ref="G3:G23" si="0">RIGHT(B3,LEN(B3)-FIND(",",B3)-1)</f>
        <v xml:space="preserve">SC  </v>
      </c>
      <c r="H3" t="str">
        <f>G3</f>
        <v xml:space="preserve">SC  </v>
      </c>
      <c r="I3" s="23" t="s">
        <v>152</v>
      </c>
      <c r="J3" s="27">
        <f>C3</f>
        <v>119114.69514065071</v>
      </c>
    </row>
    <row r="4" spans="1:10" x14ac:dyDescent="0.25">
      <c r="A4" t="s">
        <v>2</v>
      </c>
      <c r="B4" t="s">
        <v>3</v>
      </c>
      <c r="C4" s="2">
        <v>656500</v>
      </c>
      <c r="D4" s="80" t="s">
        <v>4</v>
      </c>
      <c r="G4" t="str">
        <f t="shared" si="0"/>
        <v xml:space="preserve">MT  </v>
      </c>
      <c r="H4" t="str">
        <f t="shared" ref="H4:H23" si="1">G4</f>
        <v xml:space="preserve">MT  </v>
      </c>
      <c r="I4" s="23" t="s">
        <v>126</v>
      </c>
      <c r="J4">
        <f t="shared" ref="J4:J23" si="2">C4</f>
        <v>656500</v>
      </c>
    </row>
    <row r="5" spans="1:10" x14ac:dyDescent="0.25">
      <c r="A5" t="s">
        <v>5</v>
      </c>
      <c r="B5" t="s">
        <v>6</v>
      </c>
      <c r="C5" s="2">
        <v>291983</v>
      </c>
      <c r="D5" s="80" t="s">
        <v>7</v>
      </c>
      <c r="G5" t="str">
        <f t="shared" si="0"/>
        <v xml:space="preserve">AZ--NV  </v>
      </c>
      <c r="H5" t="s">
        <v>74</v>
      </c>
      <c r="I5" s="24" t="s">
        <v>67</v>
      </c>
      <c r="J5">
        <f t="shared" si="2"/>
        <v>291983</v>
      </c>
    </row>
    <row r="6" spans="1:10" x14ac:dyDescent="0.25">
      <c r="A6" t="s">
        <v>8</v>
      </c>
      <c r="B6" t="s">
        <v>9</v>
      </c>
      <c r="C6" s="2">
        <v>409008.07264820038</v>
      </c>
      <c r="D6" s="80" t="s">
        <v>10</v>
      </c>
      <c r="G6" t="str">
        <f t="shared" si="0"/>
        <v xml:space="preserve">TN  </v>
      </c>
      <c r="H6" t="str">
        <f t="shared" si="1"/>
        <v xml:space="preserve">TN  </v>
      </c>
      <c r="I6" s="19" t="s">
        <v>156</v>
      </c>
      <c r="J6">
        <f t="shared" si="2"/>
        <v>409008.07264820038</v>
      </c>
    </row>
    <row r="7" spans="1:10" x14ac:dyDescent="0.25">
      <c r="A7" t="s">
        <v>11</v>
      </c>
      <c r="B7" t="s">
        <v>12</v>
      </c>
      <c r="C7" s="2">
        <v>394674.13812237198</v>
      </c>
      <c r="D7" s="80" t="s">
        <v>13</v>
      </c>
      <c r="G7" t="str">
        <f t="shared" si="0"/>
        <v xml:space="preserve">TX  </v>
      </c>
      <c r="H7" t="str">
        <f t="shared" si="1"/>
        <v xml:space="preserve">TX  </v>
      </c>
      <c r="I7" s="19" t="s">
        <v>158</v>
      </c>
      <c r="J7">
        <f t="shared" si="2"/>
        <v>394674.13812237198</v>
      </c>
    </row>
    <row r="8" spans="1:10" x14ac:dyDescent="0.25">
      <c r="A8" t="s">
        <v>14</v>
      </c>
      <c r="B8" t="s">
        <v>15</v>
      </c>
      <c r="C8" s="2">
        <v>243349</v>
      </c>
      <c r="D8" s="80" t="s">
        <v>16</v>
      </c>
      <c r="G8" t="str">
        <f t="shared" si="0"/>
        <v xml:space="preserve">OK  </v>
      </c>
      <c r="H8" t="str">
        <f t="shared" si="1"/>
        <v xml:space="preserve">OK  </v>
      </c>
      <c r="I8" s="19" t="s">
        <v>144</v>
      </c>
      <c r="J8">
        <f t="shared" si="2"/>
        <v>243349</v>
      </c>
    </row>
    <row r="9" spans="1:10" x14ac:dyDescent="0.25">
      <c r="A9" t="s">
        <v>17</v>
      </c>
      <c r="B9" t="s">
        <v>18</v>
      </c>
      <c r="C9" s="2">
        <v>373213.31737428904</v>
      </c>
      <c r="D9" s="80" t="s">
        <v>384</v>
      </c>
      <c r="G9" t="str">
        <f t="shared" si="0"/>
        <v xml:space="preserve">FL  </v>
      </c>
      <c r="H9" t="str">
        <f t="shared" si="1"/>
        <v xml:space="preserve">FL  </v>
      </c>
      <c r="I9" s="19" t="s">
        <v>92</v>
      </c>
      <c r="J9">
        <f t="shared" si="2"/>
        <v>373213.31737428904</v>
      </c>
    </row>
    <row r="10" spans="1:10" x14ac:dyDescent="0.25">
      <c r="A10" t="s">
        <v>19</v>
      </c>
      <c r="B10" t="s">
        <v>20</v>
      </c>
      <c r="C10" s="2">
        <v>724369.39552286954</v>
      </c>
      <c r="D10" s="80" t="s">
        <v>21</v>
      </c>
      <c r="G10" t="str">
        <f t="shared" si="0"/>
        <v xml:space="preserve">HI  </v>
      </c>
      <c r="H10" t="str">
        <f t="shared" si="1"/>
        <v xml:space="preserve">HI  </v>
      </c>
      <c r="I10" s="19" t="s">
        <v>96</v>
      </c>
      <c r="J10">
        <f t="shared" si="2"/>
        <v>724369.39552286954</v>
      </c>
    </row>
    <row r="11" spans="1:10" x14ac:dyDescent="0.25">
      <c r="A11" t="s">
        <v>22</v>
      </c>
      <c r="B11" t="s">
        <v>23</v>
      </c>
      <c r="C11" s="2">
        <v>401139.52563932684</v>
      </c>
      <c r="D11" s="80" t="s">
        <v>24</v>
      </c>
      <c r="G11" t="str">
        <f t="shared" si="0"/>
        <v xml:space="preserve">CA  </v>
      </c>
      <c r="H11" t="str">
        <f t="shared" si="1"/>
        <v xml:space="preserve">CA  </v>
      </c>
      <c r="I11" s="19" t="s">
        <v>82</v>
      </c>
      <c r="J11">
        <f t="shared" si="2"/>
        <v>401139.52563932684</v>
      </c>
    </row>
    <row r="12" spans="1:10" x14ac:dyDescent="0.25">
      <c r="A12" t="s">
        <v>25</v>
      </c>
      <c r="B12" t="s">
        <v>26</v>
      </c>
      <c r="C12" s="2">
        <v>443272.91342762881</v>
      </c>
      <c r="D12" s="80" t="s">
        <v>27</v>
      </c>
      <c r="G12" t="str">
        <f t="shared" si="0"/>
        <v xml:space="preserve">AK  </v>
      </c>
      <c r="H12" t="str">
        <f t="shared" si="1"/>
        <v xml:space="preserve">AK  </v>
      </c>
      <c r="I12" s="19" t="s">
        <v>78</v>
      </c>
      <c r="J12">
        <f t="shared" si="2"/>
        <v>443272.91342762881</v>
      </c>
    </row>
    <row r="13" spans="1:10" x14ac:dyDescent="0.25">
      <c r="A13" t="s">
        <v>28</v>
      </c>
      <c r="B13" t="s">
        <v>29</v>
      </c>
      <c r="C13" s="2">
        <v>46498</v>
      </c>
      <c r="D13" s="80" t="s">
        <v>30</v>
      </c>
      <c r="G13" t="str">
        <f t="shared" si="0"/>
        <v xml:space="preserve">AZ  </v>
      </c>
      <c r="H13" t="str">
        <f t="shared" si="1"/>
        <v xml:space="preserve">AZ  </v>
      </c>
      <c r="I13" s="19" t="s">
        <v>67</v>
      </c>
      <c r="J13">
        <f t="shared" si="2"/>
        <v>46498</v>
      </c>
    </row>
    <row r="14" spans="1:10" x14ac:dyDescent="0.25">
      <c r="A14" t="s">
        <v>31</v>
      </c>
      <c r="B14" t="s">
        <v>32</v>
      </c>
      <c r="C14" s="2">
        <v>159440</v>
      </c>
      <c r="D14" s="80" t="s">
        <v>33</v>
      </c>
      <c r="G14" t="str">
        <f t="shared" si="0"/>
        <v xml:space="preserve">ND  </v>
      </c>
      <c r="H14" t="str">
        <f t="shared" si="1"/>
        <v xml:space="preserve">ND  </v>
      </c>
      <c r="I14" s="19" t="s">
        <v>140</v>
      </c>
      <c r="J14">
        <f t="shared" si="2"/>
        <v>159440</v>
      </c>
    </row>
    <row r="15" spans="1:10" x14ac:dyDescent="0.25">
      <c r="A15" t="s">
        <v>34</v>
      </c>
      <c r="B15" t="s">
        <v>35</v>
      </c>
      <c r="C15" s="2">
        <v>517410</v>
      </c>
      <c r="D15" s="80" t="s">
        <v>36</v>
      </c>
      <c r="G15" t="str">
        <f t="shared" si="0"/>
        <v xml:space="preserve">NC  </v>
      </c>
      <c r="H15" t="str">
        <f t="shared" si="1"/>
        <v xml:space="preserve">NC  </v>
      </c>
      <c r="I15" s="19" t="s">
        <v>138</v>
      </c>
      <c r="J15">
        <f t="shared" si="2"/>
        <v>517410</v>
      </c>
    </row>
    <row r="16" spans="1:10" x14ac:dyDescent="0.25">
      <c r="A16" t="s">
        <v>37</v>
      </c>
      <c r="B16" t="s">
        <v>38</v>
      </c>
      <c r="C16" s="2">
        <v>336526.87333953514</v>
      </c>
      <c r="D16" s="80" t="s">
        <v>39</v>
      </c>
      <c r="G16" t="str">
        <f t="shared" si="0"/>
        <v xml:space="preserve">OH  </v>
      </c>
      <c r="H16" t="str">
        <f t="shared" si="1"/>
        <v xml:space="preserve">OH  </v>
      </c>
      <c r="I16" s="19" t="s">
        <v>142</v>
      </c>
      <c r="J16">
        <f t="shared" si="2"/>
        <v>336526.87333953514</v>
      </c>
    </row>
    <row r="17" spans="1:10" x14ac:dyDescent="0.25">
      <c r="A17" t="s">
        <v>40</v>
      </c>
      <c r="B17" t="s">
        <v>41</v>
      </c>
      <c r="C17" s="2">
        <v>373213.31737428904</v>
      </c>
      <c r="D17" s="80" t="s">
        <v>384</v>
      </c>
      <c r="G17" t="str">
        <f t="shared" si="0"/>
        <v xml:space="preserve">FL  </v>
      </c>
      <c r="H17" t="str">
        <f t="shared" si="1"/>
        <v xml:space="preserve">FL  </v>
      </c>
      <c r="I17" s="19" t="s">
        <v>92</v>
      </c>
      <c r="J17">
        <f t="shared" si="2"/>
        <v>373213.31737428904</v>
      </c>
    </row>
    <row r="18" spans="1:10" x14ac:dyDescent="0.25">
      <c r="A18" t="s">
        <v>42</v>
      </c>
      <c r="B18" t="s">
        <v>43</v>
      </c>
      <c r="C18" s="2">
        <v>199587</v>
      </c>
      <c r="D18" s="80" t="s">
        <v>44</v>
      </c>
      <c r="G18" t="str">
        <f t="shared" si="0"/>
        <v xml:space="preserve">CA  </v>
      </c>
      <c r="H18" t="str">
        <f t="shared" si="1"/>
        <v xml:space="preserve">CA  </v>
      </c>
      <c r="I18" s="19" t="s">
        <v>82</v>
      </c>
      <c r="J18">
        <f t="shared" si="2"/>
        <v>199587</v>
      </c>
    </row>
    <row r="19" spans="1:10" x14ac:dyDescent="0.25">
      <c r="A19" t="s">
        <v>45</v>
      </c>
      <c r="B19" t="s">
        <v>46</v>
      </c>
      <c r="C19" s="2">
        <v>111281.30767756827</v>
      </c>
      <c r="D19" s="80">
        <v>60090</v>
      </c>
      <c r="G19" t="str">
        <f t="shared" si="0"/>
        <v xml:space="preserve">TX  </v>
      </c>
      <c r="H19" t="str">
        <f t="shared" si="1"/>
        <v xml:space="preserve">TX  </v>
      </c>
      <c r="I19" s="19" t="s">
        <v>158</v>
      </c>
      <c r="J19">
        <f t="shared" si="2"/>
        <v>111281.30767756827</v>
      </c>
    </row>
    <row r="20" spans="1:10" x14ac:dyDescent="0.25">
      <c r="A20" t="s">
        <v>47</v>
      </c>
      <c r="B20" t="s">
        <v>48</v>
      </c>
      <c r="C20" s="2">
        <v>324187</v>
      </c>
      <c r="D20" s="80" t="s">
        <v>220</v>
      </c>
      <c r="G20" t="str">
        <f t="shared" si="0"/>
        <v xml:space="preserve">NM  </v>
      </c>
      <c r="H20" t="str">
        <f t="shared" si="1"/>
        <v xml:space="preserve">NM  </v>
      </c>
      <c r="I20" s="19" t="s">
        <v>134</v>
      </c>
      <c r="J20">
        <f t="shared" si="2"/>
        <v>324187</v>
      </c>
    </row>
    <row r="21" spans="1:10" x14ac:dyDescent="0.25">
      <c r="A21" t="s">
        <v>49</v>
      </c>
      <c r="B21" t="s">
        <v>50</v>
      </c>
      <c r="C21" s="2">
        <v>683193</v>
      </c>
      <c r="D21" s="80" t="s">
        <v>51</v>
      </c>
      <c r="G21" t="str">
        <f t="shared" si="0"/>
        <v xml:space="preserve">OK  </v>
      </c>
      <c r="H21" t="str">
        <f t="shared" si="1"/>
        <v xml:space="preserve">OK  </v>
      </c>
      <c r="I21" s="19" t="s">
        <v>144</v>
      </c>
      <c r="J21">
        <f t="shared" si="2"/>
        <v>683193</v>
      </c>
    </row>
    <row r="22" spans="1:10" x14ac:dyDescent="0.25">
      <c r="A22" t="s">
        <v>52</v>
      </c>
      <c r="B22" t="s">
        <v>53</v>
      </c>
      <c r="C22" s="2">
        <v>942221.10859334143</v>
      </c>
      <c r="D22" s="80" t="s">
        <v>54</v>
      </c>
      <c r="G22" t="str">
        <f t="shared" si="0"/>
        <v xml:space="preserve">MI  </v>
      </c>
      <c r="H22" t="str">
        <f t="shared" si="1"/>
        <v xml:space="preserve">MI  </v>
      </c>
      <c r="I22" s="19" t="s">
        <v>118</v>
      </c>
      <c r="J22">
        <f t="shared" si="2"/>
        <v>942221.10859334143</v>
      </c>
    </row>
    <row r="23" spans="1:10" x14ac:dyDescent="0.25">
      <c r="A23" t="s">
        <v>55</v>
      </c>
      <c r="B23" t="s">
        <v>56</v>
      </c>
      <c r="C23" s="2">
        <v>87298</v>
      </c>
      <c r="D23" s="80" t="s">
        <v>57</v>
      </c>
      <c r="G23" t="str">
        <f t="shared" si="0"/>
        <v xml:space="preserve">ID  </v>
      </c>
      <c r="H23" t="str">
        <f t="shared" si="1"/>
        <v xml:space="preserve">ID  </v>
      </c>
      <c r="I23" s="19" t="s">
        <v>98</v>
      </c>
      <c r="J23">
        <f t="shared" si="2"/>
        <v>87298</v>
      </c>
    </row>
    <row r="24" spans="1:10" x14ac:dyDescent="0.25">
      <c r="C24" s="2">
        <f>SUM(C3:C23)</f>
        <v>7837479.6648600698</v>
      </c>
      <c r="J24" s="2">
        <f>SUM(J3:J23)</f>
        <v>7837479.6648600698</v>
      </c>
    </row>
    <row r="26" spans="1:10" x14ac:dyDescent="0.25">
      <c r="A26" s="113" t="s">
        <v>71</v>
      </c>
      <c r="B26" s="113"/>
      <c r="C26" s="113"/>
      <c r="D26" s="113"/>
      <c r="E26" s="113"/>
      <c r="F26" s="113"/>
    </row>
    <row r="27" spans="1:10" ht="45" x14ac:dyDescent="0.25">
      <c r="A27" s="6" t="s">
        <v>63</v>
      </c>
      <c r="B27" s="6" t="s">
        <v>64</v>
      </c>
      <c r="C27" s="6" t="s">
        <v>58</v>
      </c>
      <c r="D27" s="6" t="s">
        <v>59</v>
      </c>
      <c r="E27" s="6" t="s">
        <v>65</v>
      </c>
      <c r="F27" s="7" t="s">
        <v>60</v>
      </c>
      <c r="G27" s="13" t="s">
        <v>72</v>
      </c>
    </row>
    <row r="28" spans="1:10" x14ac:dyDescent="0.25">
      <c r="A28" s="8" t="s">
        <v>66</v>
      </c>
      <c r="B28" s="9" t="s">
        <v>67</v>
      </c>
      <c r="C28" s="10" t="s">
        <v>5</v>
      </c>
      <c r="D28" t="s">
        <v>6</v>
      </c>
      <c r="E28" s="11" t="s">
        <v>68</v>
      </c>
      <c r="F28" s="12">
        <v>51294.243323254457</v>
      </c>
      <c r="G28" s="14">
        <f>F28/SUM($F$28:$F$29)</f>
        <v>0.99986231576649764</v>
      </c>
    </row>
    <row r="29" spans="1:10" x14ac:dyDescent="0.25">
      <c r="A29" s="8" t="s">
        <v>69</v>
      </c>
      <c r="B29" s="9" t="s">
        <v>70</v>
      </c>
      <c r="C29" s="10" t="s">
        <v>5</v>
      </c>
      <c r="D29" t="s">
        <v>6</v>
      </c>
      <c r="E29" s="11" t="s">
        <v>68</v>
      </c>
      <c r="F29" s="12">
        <v>7.0633810912571571</v>
      </c>
      <c r="G29" s="14">
        <f>F29/SUM($F$28:$F$29)</f>
        <v>1.3768423350235681E-4</v>
      </c>
    </row>
  </sheetData>
  <mergeCells count="3">
    <mergeCell ref="A1:E1"/>
    <mergeCell ref="A26:F26"/>
    <mergeCell ref="F1:J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5E54-19BB-45DD-A5E9-55BD63A625CA}">
  <dimension ref="A1:S445"/>
  <sheetViews>
    <sheetView zoomScale="90" zoomScaleNormal="90" workbookViewId="0">
      <selection activeCell="A359" sqref="A359"/>
    </sheetView>
  </sheetViews>
  <sheetFormatPr defaultRowHeight="15" x14ac:dyDescent="0.25"/>
  <cols>
    <col min="1" max="1" width="33.85546875" bestFit="1" customWidth="1"/>
    <col min="2" max="2" width="10.7109375" bestFit="1" customWidth="1"/>
    <col min="3" max="3" width="9.7109375" customWidth="1"/>
    <col min="4" max="4" width="11" customWidth="1"/>
    <col min="5" max="5" width="11.140625" customWidth="1"/>
    <col min="10" max="10" width="16.42578125" customWidth="1"/>
    <col min="11" max="11" width="11.140625" customWidth="1"/>
    <col min="13" max="13" width="12" customWidth="1"/>
    <col min="15" max="15" width="11.7109375" customWidth="1"/>
    <col min="16" max="16" width="10.7109375" customWidth="1"/>
  </cols>
  <sheetData>
    <row r="1" spans="1:18" x14ac:dyDescent="0.25">
      <c r="A1" s="26" t="s">
        <v>222</v>
      </c>
    </row>
    <row r="2" spans="1:18" x14ac:dyDescent="0.25">
      <c r="A2" s="29" t="s">
        <v>256</v>
      </c>
      <c r="B2" t="s">
        <v>253</v>
      </c>
      <c r="C2" t="s">
        <v>254</v>
      </c>
    </row>
    <row r="3" spans="1:18" ht="45" x14ac:dyDescent="0.25">
      <c r="A3" s="32" t="s">
        <v>247</v>
      </c>
      <c r="B3" s="32" t="s">
        <v>248</v>
      </c>
      <c r="C3" s="32" t="s">
        <v>233</v>
      </c>
      <c r="D3" s="32" t="s">
        <v>234</v>
      </c>
      <c r="E3" s="32" t="s">
        <v>235</v>
      </c>
      <c r="F3" s="32" t="s">
        <v>236</v>
      </c>
      <c r="G3" s="32" t="s">
        <v>237</v>
      </c>
      <c r="H3" s="32" t="s">
        <v>238</v>
      </c>
      <c r="I3" s="32" t="s">
        <v>239</v>
      </c>
      <c r="J3" s="32" t="s">
        <v>240</v>
      </c>
      <c r="K3" s="32" t="s">
        <v>241</v>
      </c>
      <c r="L3" s="32" t="s">
        <v>242</v>
      </c>
      <c r="M3" s="32" t="s">
        <v>243</v>
      </c>
      <c r="N3" s="32" t="s">
        <v>244</v>
      </c>
      <c r="O3" s="33" t="s">
        <v>245</v>
      </c>
      <c r="P3" s="33" t="s">
        <v>246</v>
      </c>
      <c r="Q3" s="40" t="s">
        <v>283</v>
      </c>
      <c r="R3" s="40" t="s">
        <v>282</v>
      </c>
    </row>
    <row r="4" spans="1:18" x14ac:dyDescent="0.25">
      <c r="A4" t="s">
        <v>249</v>
      </c>
      <c r="B4" t="s">
        <v>251</v>
      </c>
      <c r="C4" s="2">
        <v>438895</v>
      </c>
      <c r="D4" s="2">
        <f>K4</f>
        <v>4704734.0054095378</v>
      </c>
      <c r="E4" s="30">
        <v>1827504</v>
      </c>
      <c r="F4" s="31">
        <v>0</v>
      </c>
      <c r="G4" s="2">
        <v>0</v>
      </c>
      <c r="H4" s="2">
        <v>0</v>
      </c>
      <c r="I4" s="30">
        <v>0</v>
      </c>
      <c r="J4" t="s">
        <v>252</v>
      </c>
      <c r="K4" s="2">
        <f>L4*VLOOKUP(A4,'APTL Reference'!$B$3:$E$21,4,FALSE)</f>
        <v>4704734.0054095378</v>
      </c>
      <c r="L4" s="2">
        <v>197285</v>
      </c>
      <c r="M4" s="2">
        <v>438895</v>
      </c>
      <c r="N4" s="2">
        <v>18232</v>
      </c>
      <c r="O4" s="2">
        <f>M4</f>
        <v>438895</v>
      </c>
      <c r="P4" s="2">
        <f>N4</f>
        <v>18232</v>
      </c>
      <c r="Q4" s="41">
        <f>E4/C4</f>
        <v>4.1638751865480357</v>
      </c>
      <c r="R4" s="42">
        <f>M4/N4</f>
        <v>24.072784115840282</v>
      </c>
    </row>
    <row r="5" spans="1:18" x14ac:dyDescent="0.25">
      <c r="A5" t="s">
        <v>250</v>
      </c>
      <c r="B5" t="s">
        <v>251</v>
      </c>
      <c r="C5" s="2">
        <v>244709</v>
      </c>
      <c r="D5" s="2">
        <f>K5</f>
        <v>554823.49862429663</v>
      </c>
      <c r="E5" s="30">
        <v>1134172</v>
      </c>
      <c r="F5" s="31">
        <v>0</v>
      </c>
      <c r="G5" s="2">
        <v>0</v>
      </c>
      <c r="H5" s="2">
        <v>0</v>
      </c>
      <c r="I5" s="30">
        <v>0</v>
      </c>
      <c r="J5" t="s">
        <v>252</v>
      </c>
      <c r="K5" s="2">
        <f>L5*VLOOKUP(A5,'APTL Reference'!$B$3:$E$21,4,FALSE)</f>
        <v>554823.49862429663</v>
      </c>
      <c r="L5" s="2">
        <v>59345</v>
      </c>
      <c r="M5" s="2">
        <v>244709</v>
      </c>
      <c r="N5" s="2">
        <v>15543</v>
      </c>
      <c r="O5" s="2">
        <f>M5</f>
        <v>244709</v>
      </c>
      <c r="P5" s="2">
        <f>N5</f>
        <v>15543</v>
      </c>
      <c r="Q5" s="41">
        <f>E5/C5</f>
        <v>4.6347784511399253</v>
      </c>
      <c r="R5" s="42">
        <f>M5/N5</f>
        <v>15.744000514701151</v>
      </c>
    </row>
    <row r="6" spans="1:18" ht="15.75" thickBot="1" x14ac:dyDescent="0.3">
      <c r="A6" s="34" t="s">
        <v>210</v>
      </c>
      <c r="B6" s="34" t="s">
        <v>210</v>
      </c>
      <c r="C6" s="35">
        <f>SUM(C4:C5)</f>
        <v>683604</v>
      </c>
      <c r="D6" s="35">
        <f t="shared" ref="D6:I6" si="0">SUM(D4:D5)</f>
        <v>5259557.5040338347</v>
      </c>
      <c r="E6" s="35">
        <f t="shared" si="0"/>
        <v>2961676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4" t="s">
        <v>252</v>
      </c>
      <c r="K6" s="35">
        <f>SUM(K4:K5)</f>
        <v>5259557.5040338347</v>
      </c>
      <c r="L6" s="35">
        <f t="shared" ref="L6:P6" si="1">SUM(L4:L5)</f>
        <v>256630</v>
      </c>
      <c r="M6" s="35">
        <f t="shared" si="1"/>
        <v>683604</v>
      </c>
      <c r="N6" s="35">
        <f t="shared" si="1"/>
        <v>33775</v>
      </c>
      <c r="O6" s="35">
        <f t="shared" si="1"/>
        <v>683604</v>
      </c>
      <c r="P6" s="35">
        <f t="shared" si="1"/>
        <v>33775</v>
      </c>
      <c r="Q6" s="41">
        <f>E6/C6</f>
        <v>4.332443929526451</v>
      </c>
      <c r="R6" s="42">
        <f>M6/N6</f>
        <v>20.239940784603998</v>
      </c>
    </row>
    <row r="8" spans="1:18" x14ac:dyDescent="0.25">
      <c r="A8" s="29" t="s">
        <v>257</v>
      </c>
    </row>
    <row r="9" spans="1:18" x14ac:dyDescent="0.25">
      <c r="A9" s="32" t="s">
        <v>232</v>
      </c>
      <c r="B9" s="32" t="s">
        <v>60</v>
      </c>
    </row>
    <row r="10" spans="1:18" x14ac:dyDescent="0.25">
      <c r="A10" t="s">
        <v>226</v>
      </c>
      <c r="B10" s="2">
        <v>9024</v>
      </c>
    </row>
    <row r="11" spans="1:18" x14ac:dyDescent="0.25">
      <c r="A11" t="s">
        <v>227</v>
      </c>
      <c r="B11" s="2">
        <v>37585</v>
      </c>
    </row>
    <row r="12" spans="1:18" x14ac:dyDescent="0.25">
      <c r="A12" t="s">
        <v>228</v>
      </c>
      <c r="B12" s="2">
        <v>19564</v>
      </c>
    </row>
    <row r="13" spans="1:18" x14ac:dyDescent="0.25">
      <c r="A13" t="s">
        <v>229</v>
      </c>
      <c r="B13" s="2">
        <v>28657</v>
      </c>
    </row>
    <row r="14" spans="1:18" x14ac:dyDescent="0.25">
      <c r="A14" t="s">
        <v>224</v>
      </c>
      <c r="B14" s="2">
        <v>192122</v>
      </c>
    </row>
    <row r="15" spans="1:18" ht="15.75" thickBot="1" x14ac:dyDescent="0.3">
      <c r="A15" s="34" t="s">
        <v>210</v>
      </c>
      <c r="B15" s="35">
        <f>SUM(B10:B14)</f>
        <v>286952</v>
      </c>
    </row>
    <row r="17" spans="1:19" x14ac:dyDescent="0.25">
      <c r="A17" s="32" t="s">
        <v>223</v>
      </c>
      <c r="B17" s="32" t="s">
        <v>231</v>
      </c>
    </row>
    <row r="18" spans="1:19" x14ac:dyDescent="0.25">
      <c r="A18" t="s">
        <v>224</v>
      </c>
      <c r="B18" s="2">
        <v>13404</v>
      </c>
    </row>
    <row r="19" spans="1:19" x14ac:dyDescent="0.25">
      <c r="A19" t="s">
        <v>225</v>
      </c>
      <c r="B19" s="2">
        <v>12770</v>
      </c>
    </row>
    <row r="20" spans="1:19" ht="15.75" thickBot="1" x14ac:dyDescent="0.3">
      <c r="A20" s="34" t="s">
        <v>210</v>
      </c>
      <c r="B20" s="35">
        <f>SUM(B18:B19)</f>
        <v>26174</v>
      </c>
    </row>
    <row r="21" spans="1:19" x14ac:dyDescent="0.25">
      <c r="A21" s="39" t="s">
        <v>302</v>
      </c>
      <c r="B21" s="2">
        <f>IF(B20&lt;50000,50000,"")</f>
        <v>50000</v>
      </c>
    </row>
    <row r="22" spans="1:19" x14ac:dyDescent="0.25">
      <c r="A22" t="s">
        <v>230</v>
      </c>
      <c r="B22" s="36">
        <f>IFERROR(IF(B21=50000,B21/B15,B20/B15),"")</f>
        <v>0.17424516992388972</v>
      </c>
    </row>
    <row r="24" spans="1:19" x14ac:dyDescent="0.25">
      <c r="A24" s="29" t="s">
        <v>255</v>
      </c>
    </row>
    <row r="25" spans="1:19" ht="45" x14ac:dyDescent="0.25">
      <c r="A25" t="s">
        <v>314</v>
      </c>
      <c r="B25" s="43" t="s">
        <v>248</v>
      </c>
      <c r="C25" s="43" t="s">
        <v>233</v>
      </c>
      <c r="D25" s="43" t="s">
        <v>234</v>
      </c>
      <c r="E25" s="43" t="s">
        <v>235</v>
      </c>
      <c r="F25" s="43" t="s">
        <v>236</v>
      </c>
      <c r="G25" s="43" t="s">
        <v>237</v>
      </c>
      <c r="H25" s="43" t="s">
        <v>238</v>
      </c>
      <c r="I25" s="43" t="s">
        <v>239</v>
      </c>
      <c r="J25" s="43" t="s">
        <v>240</v>
      </c>
      <c r="K25" s="43" t="s">
        <v>241</v>
      </c>
      <c r="L25" s="43" t="s">
        <v>242</v>
      </c>
      <c r="M25" s="43" t="s">
        <v>243</v>
      </c>
      <c r="N25" s="43" t="s">
        <v>244</v>
      </c>
      <c r="O25" s="44" t="s">
        <v>245</v>
      </c>
      <c r="P25" s="44" t="s">
        <v>246</v>
      </c>
    </row>
    <row r="26" spans="1:19" ht="15.75" thickBot="1" x14ac:dyDescent="0.3">
      <c r="A26" s="51" t="s">
        <v>0</v>
      </c>
      <c r="B26" s="34" t="s">
        <v>210</v>
      </c>
      <c r="C26" s="35">
        <f>IF(ISNUMBER(C6),$B$22*C6,C6)</f>
        <v>119114.69514065071</v>
      </c>
      <c r="D26" s="35">
        <f t="shared" ref="D26:P26" si="2">IF(ISNUMBER(D6),$B$22*D6,D6)</f>
        <v>916452.49101484485</v>
      </c>
      <c r="E26" s="35">
        <f t="shared" si="2"/>
        <v>516057.73787950602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 t="str">
        <f t="shared" si="2"/>
        <v>No</v>
      </c>
      <c r="K26" s="35">
        <f t="shared" si="2"/>
        <v>916452.49101484485</v>
      </c>
      <c r="L26" s="35">
        <f t="shared" si="2"/>
        <v>44716.537957567816</v>
      </c>
      <c r="M26" s="35">
        <f t="shared" si="2"/>
        <v>119114.69514065071</v>
      </c>
      <c r="N26" s="35">
        <f t="shared" si="2"/>
        <v>5885.1306141793757</v>
      </c>
      <c r="O26" s="35">
        <f t="shared" si="2"/>
        <v>119114.69514065071</v>
      </c>
      <c r="P26" s="35">
        <f t="shared" si="2"/>
        <v>5885.1306141793757</v>
      </c>
      <c r="Q26" s="45">
        <f>E26/C26</f>
        <v>4.332443929526451</v>
      </c>
      <c r="R26" s="46">
        <f>M26/N26</f>
        <v>20.239940784603995</v>
      </c>
    </row>
    <row r="27" spans="1:19" x14ac:dyDescent="0.25">
      <c r="A27" s="52"/>
      <c r="B27" s="43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3"/>
      <c r="R27" s="54"/>
    </row>
    <row r="28" spans="1:19" s="47" customFormat="1" x14ac:dyDescent="0.25"/>
    <row r="30" spans="1:19" x14ac:dyDescent="0.25">
      <c r="A30" s="26" t="s">
        <v>284</v>
      </c>
    </row>
    <row r="31" spans="1:19" x14ac:dyDescent="0.25">
      <c r="A31" s="29" t="s">
        <v>256</v>
      </c>
      <c r="B31" t="s">
        <v>10</v>
      </c>
      <c r="C31" t="s">
        <v>285</v>
      </c>
    </row>
    <row r="32" spans="1:19" ht="45" x14ac:dyDescent="0.25">
      <c r="A32" s="32" t="s">
        <v>247</v>
      </c>
      <c r="B32" s="32" t="s">
        <v>248</v>
      </c>
      <c r="C32" s="32" t="s">
        <v>233</v>
      </c>
      <c r="D32" s="32" t="s">
        <v>234</v>
      </c>
      <c r="E32" s="32" t="s">
        <v>235</v>
      </c>
      <c r="F32" s="32" t="s">
        <v>236</v>
      </c>
      <c r="G32" s="32" t="s">
        <v>237</v>
      </c>
      <c r="H32" s="32" t="s">
        <v>238</v>
      </c>
      <c r="I32" s="32" t="s">
        <v>239</v>
      </c>
      <c r="J32" s="32" t="s">
        <v>240</v>
      </c>
      <c r="K32" s="32" t="s">
        <v>241</v>
      </c>
      <c r="L32" s="32" t="s">
        <v>242</v>
      </c>
      <c r="M32" s="32" t="s">
        <v>243</v>
      </c>
      <c r="N32" s="32" t="s">
        <v>244</v>
      </c>
      <c r="O32" s="33" t="s">
        <v>245</v>
      </c>
      <c r="P32" s="33" t="s">
        <v>246</v>
      </c>
      <c r="Q32" s="40" t="s">
        <v>283</v>
      </c>
      <c r="R32" s="40" t="s">
        <v>282</v>
      </c>
      <c r="S32" s="40" t="s">
        <v>286</v>
      </c>
    </row>
    <row r="33" spans="1:19" x14ac:dyDescent="0.25">
      <c r="A33" t="s">
        <v>250</v>
      </c>
      <c r="B33" t="s">
        <v>251</v>
      </c>
      <c r="C33" s="2">
        <v>2524933</v>
      </c>
      <c r="D33" s="2">
        <f>IF(C33=M33,K33,0)</f>
        <v>1430742.5075738351</v>
      </c>
      <c r="E33" s="30">
        <v>4813326</v>
      </c>
      <c r="F33" s="31">
        <v>0</v>
      </c>
      <c r="G33" s="2">
        <v>0</v>
      </c>
      <c r="H33" s="2">
        <v>0</v>
      </c>
      <c r="I33" s="30">
        <v>0</v>
      </c>
      <c r="J33" t="s">
        <v>252</v>
      </c>
      <c r="K33" s="2">
        <f>L33*VLOOKUP(A33,'APTL Reference'!$B$3:$E$21,4,FALSE)</f>
        <v>1430742.5075738351</v>
      </c>
      <c r="L33" s="2">
        <v>153035</v>
      </c>
      <c r="M33" s="2">
        <v>2524933</v>
      </c>
      <c r="N33" s="2">
        <v>93530</v>
      </c>
      <c r="O33" s="2">
        <f>M33</f>
        <v>2524933</v>
      </c>
      <c r="P33" s="2">
        <f>N33</f>
        <v>93530</v>
      </c>
      <c r="Q33" s="41">
        <f>E33/C33</f>
        <v>1.9063183062679288</v>
      </c>
      <c r="R33" s="42">
        <f>M33/N33</f>
        <v>26.995969207740831</v>
      </c>
      <c r="S33" s="42">
        <f>K33/L33</f>
        <v>9.3491195319621987</v>
      </c>
    </row>
    <row r="34" spans="1:19" x14ac:dyDescent="0.25">
      <c r="A34" t="s">
        <v>264</v>
      </c>
      <c r="B34" t="s">
        <v>251</v>
      </c>
      <c r="C34" s="2">
        <v>379237</v>
      </c>
      <c r="D34" s="2">
        <f>IF(C34=M34,K34,0)</f>
        <v>278001.10008761456</v>
      </c>
      <c r="E34" s="30">
        <v>758414</v>
      </c>
      <c r="F34" s="31">
        <v>0</v>
      </c>
      <c r="G34" s="2">
        <v>0</v>
      </c>
      <c r="H34" s="2">
        <v>0</v>
      </c>
      <c r="I34" s="30">
        <v>0</v>
      </c>
      <c r="J34" t="s">
        <v>252</v>
      </c>
      <c r="K34" s="2">
        <f>L34*VLOOKUP(A34,'APTL Reference'!$B$3:$E$21,4,FALSE)</f>
        <v>278001.10008761456</v>
      </c>
      <c r="L34" s="2">
        <v>74516</v>
      </c>
      <c r="M34" s="2">
        <v>379237</v>
      </c>
      <c r="N34" s="2">
        <v>27938</v>
      </c>
      <c r="O34" s="2">
        <f>M34</f>
        <v>379237</v>
      </c>
      <c r="P34" s="2">
        <f>N34</f>
        <v>27938</v>
      </c>
      <c r="Q34" s="41">
        <f>E34/C34</f>
        <v>1.9998417875892911</v>
      </c>
      <c r="R34" s="42">
        <f>M34/N34</f>
        <v>13.574235807860262</v>
      </c>
      <c r="S34" s="42">
        <f>K34/L34</f>
        <v>3.7307571540020206</v>
      </c>
    </row>
    <row r="35" spans="1:19" ht="15.75" thickBot="1" x14ac:dyDescent="0.3">
      <c r="A35" s="34" t="s">
        <v>210</v>
      </c>
      <c r="B35" s="34" t="s">
        <v>210</v>
      </c>
      <c r="C35" s="35">
        <f>SUM(C33:C34)</f>
        <v>2904170</v>
      </c>
      <c r="D35" s="35">
        <f t="shared" ref="D35" si="3">SUM(D33:D34)</f>
        <v>1708743.6076614496</v>
      </c>
      <c r="E35" s="35">
        <f t="shared" ref="E35" si="4">SUM(E33:E34)</f>
        <v>5571740</v>
      </c>
      <c r="F35" s="35">
        <f t="shared" ref="F35" si="5">SUM(F33:F34)</f>
        <v>0</v>
      </c>
      <c r="G35" s="35">
        <f t="shared" ref="G35" si="6">SUM(G33:G34)</f>
        <v>0</v>
      </c>
      <c r="H35" s="35">
        <f t="shared" ref="H35" si="7">SUM(H33:H34)</f>
        <v>0</v>
      </c>
      <c r="I35" s="35">
        <f t="shared" ref="I35" si="8">SUM(I33:I34)</f>
        <v>0</v>
      </c>
      <c r="J35" s="34" t="s">
        <v>252</v>
      </c>
      <c r="K35" s="35">
        <f>SUM(K33:K34)</f>
        <v>1708743.6076614496</v>
      </c>
      <c r="L35" s="35">
        <f t="shared" ref="L35" si="9">SUM(L33:L34)</f>
        <v>227551</v>
      </c>
      <c r="M35" s="35">
        <f t="shared" ref="M35" si="10">SUM(M33:M34)</f>
        <v>2904170</v>
      </c>
      <c r="N35" s="35">
        <f t="shared" ref="N35" si="11">SUM(N33:N34)</f>
        <v>121468</v>
      </c>
      <c r="O35" s="35">
        <f t="shared" ref="O35" si="12">SUM(O33:O34)</f>
        <v>2904170</v>
      </c>
      <c r="P35" s="35">
        <f t="shared" ref="P35" si="13">SUM(P33:P34)</f>
        <v>121468</v>
      </c>
      <c r="Q35" s="41">
        <f>E35/C35</f>
        <v>1.9185309399931822</v>
      </c>
      <c r="R35" s="42">
        <f>M35/N35</f>
        <v>23.908930747192677</v>
      </c>
    </row>
    <row r="37" spans="1:19" x14ac:dyDescent="0.25">
      <c r="A37" s="29" t="s">
        <v>257</v>
      </c>
    </row>
    <row r="38" spans="1:19" x14ac:dyDescent="0.25">
      <c r="A38" s="32" t="s">
        <v>232</v>
      </c>
      <c r="B38" s="32" t="s">
        <v>60</v>
      </c>
    </row>
    <row r="39" spans="1:19" x14ac:dyDescent="0.25">
      <c r="A39" s="39" t="s">
        <v>287</v>
      </c>
      <c r="B39" s="48">
        <v>14178</v>
      </c>
    </row>
    <row r="40" spans="1:19" x14ac:dyDescent="0.25">
      <c r="A40" s="39" t="s">
        <v>288</v>
      </c>
      <c r="B40" s="48">
        <v>7654</v>
      </c>
    </row>
    <row r="41" spans="1:19" x14ac:dyDescent="0.25">
      <c r="A41" s="39" t="s">
        <v>289</v>
      </c>
      <c r="B41" s="48">
        <v>59216</v>
      </c>
    </row>
    <row r="42" spans="1:19" x14ac:dyDescent="0.25">
      <c r="A42" s="39" t="s">
        <v>290</v>
      </c>
      <c r="B42" s="48">
        <v>19847</v>
      </c>
    </row>
    <row r="43" spans="1:19" x14ac:dyDescent="0.25">
      <c r="A43" s="39" t="s">
        <v>291</v>
      </c>
      <c r="B43" s="48">
        <v>18213</v>
      </c>
    </row>
    <row r="44" spans="1:19" x14ac:dyDescent="0.25">
      <c r="A44" s="39" t="s">
        <v>292</v>
      </c>
      <c r="B44" s="48">
        <v>11682</v>
      </c>
    </row>
    <row r="45" spans="1:19" x14ac:dyDescent="0.25">
      <c r="A45" s="39" t="s">
        <v>293</v>
      </c>
      <c r="B45" s="48">
        <v>23842</v>
      </c>
    </row>
    <row r="46" spans="1:19" x14ac:dyDescent="0.25">
      <c r="A46" s="39" t="s">
        <v>294</v>
      </c>
      <c r="B46" s="48">
        <v>22068</v>
      </c>
    </row>
    <row r="47" spans="1:19" x14ac:dyDescent="0.25">
      <c r="A47" s="39" t="s">
        <v>295</v>
      </c>
      <c r="B47" s="48">
        <v>5079</v>
      </c>
    </row>
    <row r="48" spans="1:19" x14ac:dyDescent="0.25">
      <c r="A48" s="39" t="s">
        <v>296</v>
      </c>
      <c r="B48" s="2">
        <v>80245</v>
      </c>
    </row>
    <row r="49" spans="1:19" x14ac:dyDescent="0.25">
      <c r="A49" s="39" t="s">
        <v>297</v>
      </c>
      <c r="B49" s="2">
        <v>19740</v>
      </c>
    </row>
    <row r="50" spans="1:19" x14ac:dyDescent="0.25">
      <c r="A50" s="39" t="s">
        <v>298</v>
      </c>
      <c r="B50" s="2">
        <v>5760</v>
      </c>
    </row>
    <row r="51" spans="1:19" x14ac:dyDescent="0.25">
      <c r="A51" s="39" t="s">
        <v>299</v>
      </c>
      <c r="B51" s="2">
        <v>40702</v>
      </c>
    </row>
    <row r="52" spans="1:19" x14ac:dyDescent="0.25">
      <c r="A52" s="39" t="s">
        <v>300</v>
      </c>
      <c r="B52" s="2">
        <v>26800</v>
      </c>
    </row>
    <row r="53" spans="1:19" ht="15.75" thickBot="1" x14ac:dyDescent="0.3">
      <c r="A53" s="34" t="s">
        <v>210</v>
      </c>
      <c r="B53" s="35">
        <f>SUM(B39:B52)</f>
        <v>355026</v>
      </c>
    </row>
    <row r="55" spans="1:19" x14ac:dyDescent="0.25">
      <c r="A55" s="32" t="s">
        <v>223</v>
      </c>
      <c r="B55" s="32" t="s">
        <v>231</v>
      </c>
    </row>
    <row r="56" spans="1:19" x14ac:dyDescent="0.25">
      <c r="A56" t="s">
        <v>301</v>
      </c>
      <c r="B56" s="2">
        <v>33454</v>
      </c>
    </row>
    <row r="57" spans="1:19" x14ac:dyDescent="0.25">
      <c r="B57" s="2"/>
    </row>
    <row r="58" spans="1:19" ht="15.75" thickBot="1" x14ac:dyDescent="0.3">
      <c r="A58" s="34" t="s">
        <v>210</v>
      </c>
      <c r="B58" s="35">
        <f>SUM(B56:B57)</f>
        <v>33454</v>
      </c>
    </row>
    <row r="59" spans="1:19" x14ac:dyDescent="0.25">
      <c r="A59" s="39" t="s">
        <v>302</v>
      </c>
      <c r="B59" s="2">
        <f>IF(B58&lt;50000,50000,"")</f>
        <v>50000</v>
      </c>
    </row>
    <row r="60" spans="1:19" x14ac:dyDescent="0.25">
      <c r="A60" t="s">
        <v>230</v>
      </c>
      <c r="B60" s="36">
        <f>IFERROR(IF(B59=50000,B59/B53,B58/B53),"")</f>
        <v>0.14083475576436655</v>
      </c>
    </row>
    <row r="62" spans="1:19" x14ac:dyDescent="0.25">
      <c r="A62" s="29" t="s">
        <v>255</v>
      </c>
    </row>
    <row r="63" spans="1:19" ht="45" x14ac:dyDescent="0.25">
      <c r="A63" t="s">
        <v>314</v>
      </c>
      <c r="B63" s="43" t="s">
        <v>248</v>
      </c>
      <c r="C63" s="43" t="s">
        <v>233</v>
      </c>
      <c r="D63" s="43" t="s">
        <v>234</v>
      </c>
      <c r="E63" s="43" t="s">
        <v>235</v>
      </c>
      <c r="F63" s="43" t="s">
        <v>236</v>
      </c>
      <c r="G63" s="43" t="s">
        <v>237</v>
      </c>
      <c r="H63" s="43" t="s">
        <v>238</v>
      </c>
      <c r="I63" s="43" t="s">
        <v>239</v>
      </c>
      <c r="J63" s="43" t="s">
        <v>240</v>
      </c>
      <c r="K63" s="43" t="s">
        <v>241</v>
      </c>
      <c r="L63" s="43" t="s">
        <v>242</v>
      </c>
      <c r="M63" s="43" t="s">
        <v>243</v>
      </c>
      <c r="N63" s="43" t="s">
        <v>244</v>
      </c>
      <c r="O63" s="44" t="s">
        <v>245</v>
      </c>
      <c r="P63" s="44" t="s">
        <v>246</v>
      </c>
      <c r="Q63" s="40" t="s">
        <v>283</v>
      </c>
      <c r="R63" s="40" t="s">
        <v>282</v>
      </c>
      <c r="S63" s="40" t="s">
        <v>286</v>
      </c>
    </row>
    <row r="64" spans="1:19" ht="15.75" thickBot="1" x14ac:dyDescent="0.3">
      <c r="A64" s="51" t="s">
        <v>8</v>
      </c>
      <c r="B64" s="34" t="s">
        <v>210</v>
      </c>
      <c r="C64" s="35">
        <f>IF(ISNUMBER(C35),$B60*C35,C35)</f>
        <v>409008.07264820038</v>
      </c>
      <c r="D64" s="35">
        <f t="shared" ref="D64:P64" si="14">IF(ISNUMBER(D35),$B60*D35,D35)</f>
        <v>240650.48864892282</v>
      </c>
      <c r="E64" s="35">
        <f t="shared" si="14"/>
        <v>784694.64208255173</v>
      </c>
      <c r="F64" s="35">
        <f t="shared" si="14"/>
        <v>0</v>
      </c>
      <c r="G64" s="35">
        <f t="shared" si="14"/>
        <v>0</v>
      </c>
      <c r="H64" s="35">
        <f t="shared" si="14"/>
        <v>0</v>
      </c>
      <c r="I64" s="35">
        <f t="shared" si="14"/>
        <v>0</v>
      </c>
      <c r="J64" s="35" t="str">
        <f t="shared" si="14"/>
        <v>No</v>
      </c>
      <c r="K64" s="35">
        <f t="shared" si="14"/>
        <v>240650.48864892282</v>
      </c>
      <c r="L64" s="35">
        <f t="shared" si="14"/>
        <v>32047.089508937373</v>
      </c>
      <c r="M64" s="35">
        <f t="shared" si="14"/>
        <v>409008.07264820038</v>
      </c>
      <c r="N64" s="35">
        <f t="shared" si="14"/>
        <v>17106.916113186075</v>
      </c>
      <c r="O64" s="35">
        <f t="shared" si="14"/>
        <v>409008.07264820038</v>
      </c>
      <c r="P64" s="35">
        <f t="shared" si="14"/>
        <v>17106.916113186075</v>
      </c>
      <c r="Q64" s="45">
        <f>E64/C64</f>
        <v>1.9185309399931825</v>
      </c>
      <c r="R64" s="46">
        <f>M64/N64</f>
        <v>23.908930747192677</v>
      </c>
      <c r="S64" s="37">
        <f>K64/L64</f>
        <v>7.509277514321842</v>
      </c>
    </row>
    <row r="65" spans="1:19" x14ac:dyDescent="0.25">
      <c r="A65" s="52"/>
      <c r="B65" s="43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53"/>
      <c r="R65" s="54"/>
      <c r="S65" s="37"/>
    </row>
    <row r="66" spans="1:19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8" spans="1:19" x14ac:dyDescent="0.25">
      <c r="A68" s="26" t="s">
        <v>303</v>
      </c>
    </row>
    <row r="69" spans="1:19" x14ac:dyDescent="0.25">
      <c r="A69" s="29" t="s">
        <v>256</v>
      </c>
      <c r="B69" t="s">
        <v>13</v>
      </c>
      <c r="C69" t="s">
        <v>304</v>
      </c>
    </row>
    <row r="70" spans="1:19" ht="45" x14ac:dyDescent="0.25">
      <c r="A70" s="32" t="s">
        <v>247</v>
      </c>
      <c r="B70" s="32" t="s">
        <v>248</v>
      </c>
      <c r="C70" s="32" t="s">
        <v>233</v>
      </c>
      <c r="D70" s="32" t="s">
        <v>234</v>
      </c>
      <c r="E70" s="32" t="s">
        <v>235</v>
      </c>
      <c r="F70" s="32" t="s">
        <v>236</v>
      </c>
      <c r="G70" s="32" t="s">
        <v>237</v>
      </c>
      <c r="H70" s="32" t="s">
        <v>238</v>
      </c>
      <c r="I70" s="32" t="s">
        <v>239</v>
      </c>
      <c r="J70" s="32" t="s">
        <v>240</v>
      </c>
      <c r="K70" s="32" t="s">
        <v>241</v>
      </c>
      <c r="L70" s="32" t="s">
        <v>242</v>
      </c>
      <c r="M70" s="32" t="s">
        <v>243</v>
      </c>
      <c r="N70" s="32" t="s">
        <v>244</v>
      </c>
      <c r="O70" s="33" t="s">
        <v>245</v>
      </c>
      <c r="P70" s="33" t="s">
        <v>246</v>
      </c>
      <c r="Q70" s="40" t="s">
        <v>283</v>
      </c>
      <c r="R70" s="40" t="s">
        <v>282</v>
      </c>
      <c r="S70" s="40" t="s">
        <v>286</v>
      </c>
    </row>
    <row r="71" spans="1:19" x14ac:dyDescent="0.25">
      <c r="A71" t="s">
        <v>250</v>
      </c>
      <c r="B71" t="s">
        <v>251</v>
      </c>
      <c r="C71" s="2">
        <v>929369</v>
      </c>
      <c r="D71" s="2">
        <f>IF(C71=M71,K71,0)</f>
        <v>1123464.9959168334</v>
      </c>
      <c r="E71" s="30">
        <v>2620033</v>
      </c>
      <c r="F71" s="31">
        <v>0</v>
      </c>
      <c r="G71" s="2">
        <v>0</v>
      </c>
      <c r="H71" s="2">
        <v>0</v>
      </c>
      <c r="I71" s="30">
        <v>0</v>
      </c>
      <c r="J71" t="s">
        <v>252</v>
      </c>
      <c r="K71" s="2">
        <f>L71*VLOOKUP(A71,'APTL Reference'!$B$3:$E$21,4,FALSE)</f>
        <v>1123464.9959168334</v>
      </c>
      <c r="L71" s="2">
        <v>120168</v>
      </c>
      <c r="M71" s="2">
        <v>929369</v>
      </c>
      <c r="N71" s="2">
        <v>46153</v>
      </c>
      <c r="O71" s="2">
        <f>M71</f>
        <v>929369</v>
      </c>
      <c r="P71" s="2">
        <f>N71</f>
        <v>46153</v>
      </c>
      <c r="Q71" s="41">
        <f>E71/C71</f>
        <v>2.8191525648047224</v>
      </c>
      <c r="R71" s="42">
        <f>M71/N71</f>
        <v>20.136697506120946</v>
      </c>
      <c r="S71" s="42">
        <f>K71/L71</f>
        <v>9.3491195319621987</v>
      </c>
    </row>
    <row r="72" spans="1:19" x14ac:dyDescent="0.25">
      <c r="C72" s="2"/>
      <c r="D72" s="2"/>
      <c r="E72" s="30"/>
      <c r="F72" s="31"/>
      <c r="G72" s="2"/>
      <c r="H72" s="2"/>
      <c r="I72" s="30"/>
      <c r="K72" s="2"/>
      <c r="L72" s="2"/>
      <c r="M72" s="2"/>
      <c r="N72" s="2"/>
      <c r="O72" s="2"/>
      <c r="P72" s="2"/>
      <c r="Q72" s="41" t="e">
        <f>E72/C72</f>
        <v>#DIV/0!</v>
      </c>
      <c r="R72" s="42" t="e">
        <f>M72/N72</f>
        <v>#DIV/0!</v>
      </c>
      <c r="S72" s="42" t="e">
        <f>K72/L72</f>
        <v>#DIV/0!</v>
      </c>
    </row>
    <row r="73" spans="1:19" ht="15.75" thickBot="1" x14ac:dyDescent="0.3">
      <c r="A73" s="34" t="s">
        <v>210</v>
      </c>
      <c r="B73" s="34" t="s">
        <v>210</v>
      </c>
      <c r="C73" s="35">
        <f>SUM(C71:C72)</f>
        <v>929369</v>
      </c>
      <c r="D73" s="35">
        <f t="shared" ref="D73" si="15">SUM(D71:D72)</f>
        <v>1123464.9959168334</v>
      </c>
      <c r="E73" s="35">
        <f t="shared" ref="E73" si="16">SUM(E71:E72)</f>
        <v>2620033</v>
      </c>
      <c r="F73" s="35">
        <f t="shared" ref="F73" si="17">SUM(F71:F72)</f>
        <v>0</v>
      </c>
      <c r="G73" s="35">
        <f t="shared" ref="G73" si="18">SUM(G71:G72)</f>
        <v>0</v>
      </c>
      <c r="H73" s="35">
        <f t="shared" ref="H73" si="19">SUM(H71:H72)</f>
        <v>0</v>
      </c>
      <c r="I73" s="35">
        <f t="shared" ref="I73" si="20">SUM(I71:I72)</f>
        <v>0</v>
      </c>
      <c r="J73" s="34" t="s">
        <v>252</v>
      </c>
      <c r="K73" s="35">
        <f>SUM(K71:K72)</f>
        <v>1123464.9959168334</v>
      </c>
      <c r="L73" s="35">
        <f t="shared" ref="L73" si="21">SUM(L71:L72)</f>
        <v>120168</v>
      </c>
      <c r="M73" s="35">
        <f t="shared" ref="M73" si="22">SUM(M71:M72)</f>
        <v>929369</v>
      </c>
      <c r="N73" s="35">
        <f t="shared" ref="N73" si="23">SUM(N71:N72)</f>
        <v>46153</v>
      </c>
      <c r="O73" s="35">
        <f t="shared" ref="O73" si="24">SUM(O71:O72)</f>
        <v>929369</v>
      </c>
      <c r="P73" s="35">
        <f t="shared" ref="P73" si="25">SUM(P71:P72)</f>
        <v>46153</v>
      </c>
      <c r="Q73" s="41">
        <f>E73/C73</f>
        <v>2.8191525648047224</v>
      </c>
      <c r="R73" s="42">
        <f>M73/N73</f>
        <v>20.136697506120946</v>
      </c>
    </row>
    <row r="75" spans="1:19" x14ac:dyDescent="0.25">
      <c r="A75" s="29" t="s">
        <v>305</v>
      </c>
    </row>
    <row r="76" spans="1:19" x14ac:dyDescent="0.25">
      <c r="A76" s="32" t="s">
        <v>232</v>
      </c>
      <c r="B76" s="32" t="s">
        <v>60</v>
      </c>
    </row>
    <row r="77" spans="1:19" x14ac:dyDescent="0.25">
      <c r="A77" s="39" t="s">
        <v>306</v>
      </c>
      <c r="B77" s="49">
        <v>74381.240537643826</v>
      </c>
    </row>
    <row r="78" spans="1:19" x14ac:dyDescent="0.25">
      <c r="A78" s="39" t="s">
        <v>307</v>
      </c>
      <c r="B78" s="49">
        <v>54903</v>
      </c>
    </row>
    <row r="79" spans="1:19" x14ac:dyDescent="0.25">
      <c r="A79" s="39"/>
      <c r="B79" s="48"/>
    </row>
    <row r="80" spans="1:19" x14ac:dyDescent="0.25">
      <c r="A80" s="39"/>
      <c r="B80" s="2"/>
    </row>
    <row r="81" spans="1:19" ht="15.75" thickBot="1" x14ac:dyDescent="0.3">
      <c r="A81" s="34" t="s">
        <v>210</v>
      </c>
      <c r="B81" s="35">
        <f>SUM(B77:B80)</f>
        <v>129284.24053764383</v>
      </c>
    </row>
    <row r="83" spans="1:19" x14ac:dyDescent="0.25">
      <c r="A83" s="32" t="s">
        <v>223</v>
      </c>
      <c r="B83" s="32" t="s">
        <v>231</v>
      </c>
    </row>
    <row r="84" spans="1:19" x14ac:dyDescent="0.25">
      <c r="A84" t="s">
        <v>308</v>
      </c>
      <c r="B84" s="1">
        <v>54903</v>
      </c>
    </row>
    <row r="85" spans="1:19" x14ac:dyDescent="0.25">
      <c r="B85" s="2"/>
    </row>
    <row r="86" spans="1:19" ht="15.75" thickBot="1" x14ac:dyDescent="0.3">
      <c r="A86" s="34" t="s">
        <v>210</v>
      </c>
      <c r="B86" s="35">
        <f>SUM(B84:B85)</f>
        <v>54903</v>
      </c>
    </row>
    <row r="87" spans="1:19" x14ac:dyDescent="0.25">
      <c r="A87" s="39" t="s">
        <v>302</v>
      </c>
      <c r="B87" s="2" t="str">
        <f>IF(B86&lt;50000,50000,"")</f>
        <v/>
      </c>
    </row>
    <row r="88" spans="1:19" x14ac:dyDescent="0.25">
      <c r="A88" t="s">
        <v>230</v>
      </c>
      <c r="B88" s="36">
        <f>IFERROR(IF(B87=50000,B87/B81,B86/B81),"")</f>
        <v>0.42466892926531008</v>
      </c>
    </row>
    <row r="90" spans="1:19" x14ac:dyDescent="0.25">
      <c r="A90" s="29" t="s">
        <v>255</v>
      </c>
    </row>
    <row r="91" spans="1:19" ht="45" x14ac:dyDescent="0.25">
      <c r="A91" t="s">
        <v>314</v>
      </c>
      <c r="B91" s="43" t="s">
        <v>248</v>
      </c>
      <c r="C91" s="43" t="s">
        <v>233</v>
      </c>
      <c r="D91" s="43" t="s">
        <v>234</v>
      </c>
      <c r="E91" s="43" t="s">
        <v>235</v>
      </c>
      <c r="F91" s="43" t="s">
        <v>236</v>
      </c>
      <c r="G91" s="43" t="s">
        <v>237</v>
      </c>
      <c r="H91" s="43" t="s">
        <v>238</v>
      </c>
      <c r="I91" s="43" t="s">
        <v>239</v>
      </c>
      <c r="J91" s="43" t="s">
        <v>240</v>
      </c>
      <c r="K91" s="43" t="s">
        <v>241</v>
      </c>
      <c r="L91" s="43" t="s">
        <v>242</v>
      </c>
      <c r="M91" s="43" t="s">
        <v>243</v>
      </c>
      <c r="N91" s="43" t="s">
        <v>244</v>
      </c>
      <c r="O91" s="44" t="s">
        <v>245</v>
      </c>
      <c r="P91" s="44" t="s">
        <v>246</v>
      </c>
      <c r="Q91" s="40" t="s">
        <v>283</v>
      </c>
      <c r="R91" s="40" t="s">
        <v>282</v>
      </c>
      <c r="S91" s="40" t="s">
        <v>286</v>
      </c>
    </row>
    <row r="92" spans="1:19" ht="15.75" thickBot="1" x14ac:dyDescent="0.3">
      <c r="A92" s="51" t="s">
        <v>11</v>
      </c>
      <c r="B92" s="34" t="s">
        <v>210</v>
      </c>
      <c r="C92" s="35">
        <f t="shared" ref="C92:P92" si="26">IF(ISNUMBER(C73),$B88*C73,C73)</f>
        <v>394674.13812237198</v>
      </c>
      <c r="D92" s="35">
        <f t="shared" si="26"/>
        <v>477100.67688305757</v>
      </c>
      <c r="E92" s="35">
        <f t="shared" si="26"/>
        <v>1112646.6087497782</v>
      </c>
      <c r="F92" s="35">
        <f t="shared" si="26"/>
        <v>0</v>
      </c>
      <c r="G92" s="35">
        <f t="shared" si="26"/>
        <v>0</v>
      </c>
      <c r="H92" s="35">
        <f t="shared" si="26"/>
        <v>0</v>
      </c>
      <c r="I92" s="35">
        <f t="shared" si="26"/>
        <v>0</v>
      </c>
      <c r="J92" s="35" t="str">
        <f t="shared" si="26"/>
        <v>No</v>
      </c>
      <c r="K92" s="35">
        <f t="shared" si="26"/>
        <v>477100.67688305757</v>
      </c>
      <c r="L92" s="35">
        <f t="shared" si="26"/>
        <v>51031.615891953785</v>
      </c>
      <c r="M92" s="35">
        <f t="shared" si="26"/>
        <v>394674.13812237198</v>
      </c>
      <c r="N92" s="35">
        <f t="shared" si="26"/>
        <v>19599.745092381858</v>
      </c>
      <c r="O92" s="35">
        <f t="shared" si="26"/>
        <v>394674.13812237198</v>
      </c>
      <c r="P92" s="35">
        <f t="shared" si="26"/>
        <v>19599.745092381858</v>
      </c>
      <c r="Q92" s="45">
        <f>E92/C92</f>
        <v>2.8191525648047224</v>
      </c>
      <c r="R92" s="46">
        <f>M92/N92</f>
        <v>20.136697506120946</v>
      </c>
      <c r="S92" s="37">
        <f>K92/L92</f>
        <v>9.3491195319621969</v>
      </c>
    </row>
    <row r="93" spans="1:19" x14ac:dyDescent="0.25">
      <c r="A93" s="43"/>
      <c r="B93" s="43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53"/>
      <c r="R93" s="54"/>
      <c r="S93" s="37"/>
    </row>
    <row r="94" spans="1:19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</row>
    <row r="96" spans="1:19" x14ac:dyDescent="0.25">
      <c r="A96" s="26" t="s">
        <v>309</v>
      </c>
    </row>
    <row r="97" spans="1:19" x14ac:dyDescent="0.25">
      <c r="A97" s="29" t="s">
        <v>256</v>
      </c>
      <c r="B97" s="50" t="s">
        <v>21</v>
      </c>
      <c r="C97" t="s">
        <v>310</v>
      </c>
    </row>
    <row r="98" spans="1:19" ht="45" x14ac:dyDescent="0.25">
      <c r="A98" s="32" t="s">
        <v>247</v>
      </c>
      <c r="B98" s="32" t="s">
        <v>248</v>
      </c>
      <c r="C98" s="32" t="s">
        <v>233</v>
      </c>
      <c r="D98" s="32" t="s">
        <v>234</v>
      </c>
      <c r="E98" s="32" t="s">
        <v>235</v>
      </c>
      <c r="F98" s="32" t="s">
        <v>236</v>
      </c>
      <c r="G98" s="32" t="s">
        <v>237</v>
      </c>
      <c r="H98" s="32" t="s">
        <v>238</v>
      </c>
      <c r="I98" s="32" t="s">
        <v>239</v>
      </c>
      <c r="J98" s="32" t="s">
        <v>240</v>
      </c>
      <c r="K98" s="32" t="s">
        <v>241</v>
      </c>
      <c r="L98" s="32" t="s">
        <v>242</v>
      </c>
      <c r="M98" s="32" t="s">
        <v>243</v>
      </c>
      <c r="N98" s="32" t="s">
        <v>244</v>
      </c>
      <c r="O98" s="33" t="s">
        <v>245</v>
      </c>
      <c r="P98" s="33" t="s">
        <v>246</v>
      </c>
      <c r="Q98" s="40" t="s">
        <v>283</v>
      </c>
      <c r="R98" s="40" t="s">
        <v>282</v>
      </c>
      <c r="S98" s="40" t="s">
        <v>286</v>
      </c>
    </row>
    <row r="99" spans="1:19" x14ac:dyDescent="0.25">
      <c r="A99" t="s">
        <v>249</v>
      </c>
      <c r="B99" t="s">
        <v>251</v>
      </c>
      <c r="C99" s="2">
        <v>2205556</v>
      </c>
      <c r="D99" s="2">
        <f>IF(C99=M99,K99,0)</f>
        <v>17700731.507794458</v>
      </c>
      <c r="E99" s="30">
        <v>9432704</v>
      </c>
      <c r="F99" s="31">
        <v>0</v>
      </c>
      <c r="G99" s="2">
        <v>0</v>
      </c>
      <c r="H99" s="2">
        <v>0</v>
      </c>
      <c r="I99" s="30">
        <v>0</v>
      </c>
      <c r="J99" t="s">
        <v>252</v>
      </c>
      <c r="K99" s="2">
        <f>L99*VLOOKUP(A99,'APTL Reference'!$B$3:$E$21,4,FALSE)</f>
        <v>17700731.507794458</v>
      </c>
      <c r="L99" s="2">
        <v>742250</v>
      </c>
      <c r="M99" s="2">
        <v>2205556</v>
      </c>
      <c r="N99" s="2">
        <v>65658</v>
      </c>
      <c r="O99" s="2">
        <f>M99</f>
        <v>2205556</v>
      </c>
      <c r="P99" s="2">
        <f>N99</f>
        <v>65658</v>
      </c>
      <c r="Q99" s="41">
        <f>E99/C99</f>
        <v>4.2767918837698975</v>
      </c>
      <c r="R99" s="42">
        <f>M99/N99</f>
        <v>33.591580614700419</v>
      </c>
      <c r="S99" s="42">
        <f>K99/L99</f>
        <v>23.847398461157908</v>
      </c>
    </row>
    <row r="100" spans="1:19" x14ac:dyDescent="0.25">
      <c r="A100" t="s">
        <v>250</v>
      </c>
      <c r="B100" t="s">
        <v>311</v>
      </c>
      <c r="C100" s="2">
        <v>278665</v>
      </c>
      <c r="D100" s="2">
        <f t="shared" ref="D100:D101" si="27">IF(C100=M100,K100,0)</f>
        <v>439773.23366396985</v>
      </c>
      <c r="E100" s="30">
        <v>861509</v>
      </c>
      <c r="F100" s="31">
        <v>0</v>
      </c>
      <c r="G100" s="2">
        <v>0</v>
      </c>
      <c r="H100" s="2">
        <v>0</v>
      </c>
      <c r="I100" s="30">
        <v>0</v>
      </c>
      <c r="J100" t="s">
        <v>252</v>
      </c>
      <c r="K100" s="2">
        <f>L100*VLOOKUP(A100,'APTL Reference'!$B$3:$E$21,4,FALSE)</f>
        <v>439773.23366396985</v>
      </c>
      <c r="L100" s="2">
        <v>47039</v>
      </c>
      <c r="M100" s="2">
        <v>278665</v>
      </c>
      <c r="N100" s="2">
        <v>24957</v>
      </c>
      <c r="O100" s="2">
        <f t="shared" ref="O100:O101" si="28">M100</f>
        <v>278665</v>
      </c>
      <c r="P100" s="2">
        <f t="shared" ref="P100:P101" si="29">N100</f>
        <v>24957</v>
      </c>
      <c r="Q100" s="41">
        <f t="shared" ref="Q100:Q102" si="30">E100/C100</f>
        <v>3.0915579638634201</v>
      </c>
      <c r="R100" s="42">
        <f t="shared" ref="R100:R102" si="31">M100/N100</f>
        <v>11.165805184918058</v>
      </c>
      <c r="S100" s="42">
        <f t="shared" ref="S100:S102" si="32">K100/L100</f>
        <v>9.3491195319621987</v>
      </c>
    </row>
    <row r="101" spans="1:19" x14ac:dyDescent="0.25">
      <c r="A101" t="s">
        <v>262</v>
      </c>
      <c r="B101" t="s">
        <v>311</v>
      </c>
      <c r="C101" s="2">
        <v>435176</v>
      </c>
      <c r="D101" s="2">
        <f t="shared" si="27"/>
        <v>1347584.9261630212</v>
      </c>
      <c r="E101" s="30">
        <v>932520</v>
      </c>
      <c r="F101" s="31">
        <v>0</v>
      </c>
      <c r="G101" s="2">
        <v>0</v>
      </c>
      <c r="H101" s="2">
        <v>0</v>
      </c>
      <c r="I101" s="30">
        <v>0</v>
      </c>
      <c r="J101" t="s">
        <v>252</v>
      </c>
      <c r="K101" s="2">
        <f>L101*VLOOKUP(A101,'APTL Reference'!$B$3:$E$21,4,FALSE)</f>
        <v>1347584.9261630212</v>
      </c>
      <c r="L101" s="2">
        <v>128948</v>
      </c>
      <c r="M101" s="2">
        <v>435176</v>
      </c>
      <c r="N101" s="2">
        <v>67208</v>
      </c>
      <c r="O101" s="2">
        <f t="shared" si="28"/>
        <v>435176</v>
      </c>
      <c r="P101" s="2">
        <f t="shared" si="29"/>
        <v>67208</v>
      </c>
      <c r="Q101" s="41">
        <f t="shared" si="30"/>
        <v>2.1428571428571428</v>
      </c>
      <c r="R101" s="42">
        <f t="shared" si="31"/>
        <v>6.4750624925604097</v>
      </c>
      <c r="S101" s="42">
        <f t="shared" si="32"/>
        <v>10.450607424411555</v>
      </c>
    </row>
    <row r="102" spans="1:19" ht="15.75" thickBot="1" x14ac:dyDescent="0.3">
      <c r="A102" s="34" t="s">
        <v>210</v>
      </c>
      <c r="B102" s="34" t="s">
        <v>210</v>
      </c>
      <c r="C102" s="35">
        <f>SUM(C99:C101)</f>
        <v>2919397</v>
      </c>
      <c r="D102" s="35">
        <f t="shared" ref="D102" si="33">SUM(D99:D101)</f>
        <v>19488089.667621449</v>
      </c>
      <c r="E102" s="35">
        <f t="shared" ref="E102" si="34">SUM(E99:E101)</f>
        <v>11226733</v>
      </c>
      <c r="F102" s="35">
        <f t="shared" ref="F102" si="35">SUM(F99:F101)</f>
        <v>0</v>
      </c>
      <c r="G102" s="35">
        <f t="shared" ref="G102" si="36">SUM(G99:G101)</f>
        <v>0</v>
      </c>
      <c r="H102" s="35">
        <f t="shared" ref="H102" si="37">SUM(H99:H101)</f>
        <v>0</v>
      </c>
      <c r="I102" s="35">
        <f t="shared" ref="I102" si="38">SUM(I99:I101)</f>
        <v>0</v>
      </c>
      <c r="J102" s="34" t="s">
        <v>252</v>
      </c>
      <c r="K102" s="35">
        <f>SUM(K99:K101)</f>
        <v>19488089.667621449</v>
      </c>
      <c r="L102" s="35">
        <f t="shared" ref="L102" si="39">SUM(L99:L101)</f>
        <v>918237</v>
      </c>
      <c r="M102" s="35">
        <f t="shared" ref="M102" si="40">SUM(M99:M101)</f>
        <v>2919397</v>
      </c>
      <c r="N102" s="35">
        <f t="shared" ref="N102" si="41">SUM(N99:N101)</f>
        <v>157823</v>
      </c>
      <c r="O102" s="35">
        <f t="shared" ref="O102" si="42">SUM(O99:O101)</f>
        <v>2919397</v>
      </c>
      <c r="P102" s="35">
        <f t="shared" ref="P102" si="43">SUM(P99:P101)</f>
        <v>157823</v>
      </c>
      <c r="Q102" s="41">
        <f t="shared" si="30"/>
        <v>3.8455657110012789</v>
      </c>
      <c r="R102" s="42">
        <f t="shared" si="31"/>
        <v>18.49791855432985</v>
      </c>
      <c r="S102" s="42">
        <f t="shared" si="32"/>
        <v>21.223376609330106</v>
      </c>
    </row>
    <row r="104" spans="1:19" x14ac:dyDescent="0.25">
      <c r="A104" s="29" t="s">
        <v>257</v>
      </c>
    </row>
    <row r="105" spans="1:19" x14ac:dyDescent="0.25">
      <c r="A105" s="32" t="s">
        <v>232</v>
      </c>
      <c r="B105" s="32" t="s">
        <v>60</v>
      </c>
    </row>
    <row r="106" spans="1:19" x14ac:dyDescent="0.25">
      <c r="A106" s="39" t="s">
        <v>312</v>
      </c>
      <c r="B106" s="49">
        <v>201513</v>
      </c>
    </row>
    <row r="107" spans="1:19" x14ac:dyDescent="0.25">
      <c r="A107" s="39"/>
      <c r="B107" s="2"/>
    </row>
    <row r="108" spans="1:19" x14ac:dyDescent="0.25">
      <c r="A108" s="39"/>
      <c r="B108" s="2"/>
    </row>
    <row r="109" spans="1:19" x14ac:dyDescent="0.25">
      <c r="A109" s="39"/>
      <c r="B109" s="2"/>
    </row>
    <row r="110" spans="1:19" ht="15.75" thickBot="1" x14ac:dyDescent="0.3">
      <c r="A110" s="34" t="s">
        <v>210</v>
      </c>
      <c r="B110" s="35">
        <f>SUM(B106:B109)</f>
        <v>201513</v>
      </c>
    </row>
    <row r="112" spans="1:19" x14ac:dyDescent="0.25">
      <c r="A112" s="32" t="s">
        <v>223</v>
      </c>
      <c r="B112" s="32" t="s">
        <v>231</v>
      </c>
    </row>
    <row r="113" spans="1:19" x14ac:dyDescent="0.25">
      <c r="A113" t="s">
        <v>313</v>
      </c>
      <c r="B113" s="1">
        <v>45056</v>
      </c>
    </row>
    <row r="114" spans="1:19" x14ac:dyDescent="0.25">
      <c r="B114" s="2"/>
    </row>
    <row r="115" spans="1:19" ht="15.75" thickBot="1" x14ac:dyDescent="0.3">
      <c r="A115" s="34" t="s">
        <v>210</v>
      </c>
      <c r="B115" s="35">
        <f>SUM(B113:B114)</f>
        <v>45056</v>
      </c>
    </row>
    <row r="116" spans="1:19" x14ac:dyDescent="0.25">
      <c r="A116" s="39" t="s">
        <v>302</v>
      </c>
      <c r="B116" s="2">
        <f>IF(B115&lt;50000,50000,"")</f>
        <v>50000</v>
      </c>
    </row>
    <row r="117" spans="1:19" x14ac:dyDescent="0.25">
      <c r="A117" t="s">
        <v>230</v>
      </c>
      <c r="B117" s="36">
        <f>IFERROR(IF(B116=50000,B116/B110,B115/B110),"")</f>
        <v>0.24812294988412659</v>
      </c>
    </row>
    <row r="119" spans="1:19" x14ac:dyDescent="0.25">
      <c r="A119" s="29" t="s">
        <v>255</v>
      </c>
    </row>
    <row r="120" spans="1:19" ht="45" x14ac:dyDescent="0.25">
      <c r="A120" t="s">
        <v>314</v>
      </c>
      <c r="B120" s="43" t="s">
        <v>248</v>
      </c>
      <c r="C120" s="43" t="s">
        <v>233</v>
      </c>
      <c r="D120" s="43" t="s">
        <v>234</v>
      </c>
      <c r="E120" s="43" t="s">
        <v>235</v>
      </c>
      <c r="F120" s="43" t="s">
        <v>236</v>
      </c>
      <c r="G120" s="43" t="s">
        <v>237</v>
      </c>
      <c r="H120" s="43" t="s">
        <v>238</v>
      </c>
      <c r="I120" s="43" t="s">
        <v>239</v>
      </c>
      <c r="J120" s="43" t="s">
        <v>240</v>
      </c>
      <c r="K120" s="43" t="s">
        <v>241</v>
      </c>
      <c r="L120" s="43" t="s">
        <v>242</v>
      </c>
      <c r="M120" s="43" t="s">
        <v>243</v>
      </c>
      <c r="N120" s="43" t="s">
        <v>244</v>
      </c>
      <c r="O120" s="44" t="s">
        <v>245</v>
      </c>
      <c r="P120" s="44" t="s">
        <v>246</v>
      </c>
      <c r="Q120" s="40" t="s">
        <v>283</v>
      </c>
      <c r="R120" s="40" t="s">
        <v>282</v>
      </c>
      <c r="S120" s="40" t="s">
        <v>286</v>
      </c>
    </row>
    <row r="121" spans="1:19" ht="15.75" thickBot="1" x14ac:dyDescent="0.3">
      <c r="A121" s="51" t="s">
        <v>19</v>
      </c>
      <c r="B121" s="34" t="s">
        <v>210</v>
      </c>
      <c r="C121" s="35">
        <f t="shared" ref="C121:P121" si="44">IF(ISNUMBER(C102),$B117*C102,C102)</f>
        <v>724369.39552286954</v>
      </c>
      <c r="D121" s="35">
        <f t="shared" si="44"/>
        <v>4835442.2959366022</v>
      </c>
      <c r="E121" s="35">
        <f t="shared" si="44"/>
        <v>2785610.10952147</v>
      </c>
      <c r="F121" s="35">
        <f t="shared" si="44"/>
        <v>0</v>
      </c>
      <c r="G121" s="35">
        <f t="shared" si="44"/>
        <v>0</v>
      </c>
      <c r="H121" s="35">
        <f t="shared" si="44"/>
        <v>0</v>
      </c>
      <c r="I121" s="35">
        <f t="shared" si="44"/>
        <v>0</v>
      </c>
      <c r="J121" s="35" t="str">
        <f t="shared" si="44"/>
        <v>No</v>
      </c>
      <c r="K121" s="35">
        <f t="shared" si="44"/>
        <v>4835442.2959366022</v>
      </c>
      <c r="L121" s="35">
        <f t="shared" si="44"/>
        <v>227835.67313275076</v>
      </c>
      <c r="M121" s="35">
        <f t="shared" si="44"/>
        <v>724369.39552286954</v>
      </c>
      <c r="N121" s="35">
        <f t="shared" si="44"/>
        <v>39159.508319562512</v>
      </c>
      <c r="O121" s="35">
        <f t="shared" si="44"/>
        <v>724369.39552286954</v>
      </c>
      <c r="P121" s="35">
        <f t="shared" si="44"/>
        <v>39159.508319562512</v>
      </c>
      <c r="Q121" s="45">
        <f>E121/C121</f>
        <v>3.8455657110012784</v>
      </c>
      <c r="R121" s="46">
        <f>M121/N121</f>
        <v>18.49791855432985</v>
      </c>
      <c r="S121" s="37">
        <f>K121/L121</f>
        <v>21.223376609330106</v>
      </c>
    </row>
    <row r="123" spans="1:19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</row>
    <row r="125" spans="1:19" x14ac:dyDescent="0.25">
      <c r="A125" s="26" t="s">
        <v>315</v>
      </c>
    </row>
    <row r="126" spans="1:19" x14ac:dyDescent="0.25">
      <c r="A126" s="29" t="s">
        <v>256</v>
      </c>
      <c r="B126" s="50" t="s">
        <v>24</v>
      </c>
      <c r="C126" t="s">
        <v>316</v>
      </c>
      <c r="F126" t="s">
        <v>319</v>
      </c>
    </row>
    <row r="127" spans="1:19" ht="45" x14ac:dyDescent="0.25">
      <c r="A127" s="32" t="s">
        <v>247</v>
      </c>
      <c r="B127" s="32" t="s">
        <v>248</v>
      </c>
      <c r="C127" s="32" t="s">
        <v>233</v>
      </c>
      <c r="D127" s="32" t="s">
        <v>234</v>
      </c>
      <c r="E127" s="32" t="s">
        <v>235</v>
      </c>
      <c r="F127" s="32" t="s">
        <v>236</v>
      </c>
      <c r="G127" s="32" t="s">
        <v>237</v>
      </c>
      <c r="H127" s="32" t="s">
        <v>238</v>
      </c>
      <c r="I127" s="32" t="s">
        <v>239</v>
      </c>
      <c r="J127" s="32" t="s">
        <v>240</v>
      </c>
      <c r="K127" s="32" t="s">
        <v>241</v>
      </c>
      <c r="L127" s="32" t="s">
        <v>242</v>
      </c>
      <c r="M127" s="32" t="s">
        <v>243</v>
      </c>
      <c r="N127" s="32" t="s">
        <v>244</v>
      </c>
      <c r="O127" s="33" t="s">
        <v>245</v>
      </c>
      <c r="P127" s="33" t="s">
        <v>246</v>
      </c>
      <c r="Q127" s="40" t="s">
        <v>283</v>
      </c>
      <c r="R127" s="40" t="s">
        <v>282</v>
      </c>
      <c r="S127" s="40" t="s">
        <v>286</v>
      </c>
    </row>
    <row r="128" spans="1:19" x14ac:dyDescent="0.25">
      <c r="A128" t="s">
        <v>249</v>
      </c>
      <c r="B128" t="s">
        <v>311</v>
      </c>
      <c r="C128" s="2">
        <v>146375</v>
      </c>
      <c r="D128" s="2">
        <f>IF(C128=M128,K128,0)</f>
        <v>934913.40927123465</v>
      </c>
      <c r="E128" s="30">
        <v>408533</v>
      </c>
      <c r="F128" s="31">
        <v>0</v>
      </c>
      <c r="G128" s="2">
        <v>0</v>
      </c>
      <c r="H128" s="2">
        <v>0</v>
      </c>
      <c r="I128" s="30">
        <v>0</v>
      </c>
      <c r="J128" t="s">
        <v>252</v>
      </c>
      <c r="K128" s="2">
        <f>L128*VLOOKUP(A128,'APTL Reference'!$B$3:$E$21,4,FALSE)</f>
        <v>934913.40927123465</v>
      </c>
      <c r="L128" s="2">
        <v>39204</v>
      </c>
      <c r="M128" s="2">
        <v>146375</v>
      </c>
      <c r="N128" s="2">
        <v>6325</v>
      </c>
      <c r="O128" s="2">
        <f>M128</f>
        <v>146375</v>
      </c>
      <c r="P128" s="2">
        <f>N128</f>
        <v>6325</v>
      </c>
      <c r="Q128" s="41">
        <f>E128/C128</f>
        <v>2.7910025619128951</v>
      </c>
      <c r="R128" s="42">
        <f>M128/N128</f>
        <v>23.142292490118578</v>
      </c>
      <c r="S128" s="42">
        <f>K128/L128</f>
        <v>23.847398461157908</v>
      </c>
    </row>
    <row r="129" spans="1:19" x14ac:dyDescent="0.25">
      <c r="A129" t="s">
        <v>250</v>
      </c>
      <c r="B129" t="s">
        <v>311</v>
      </c>
      <c r="C129" s="2">
        <v>276002</v>
      </c>
      <c r="D129" s="2">
        <f t="shared" ref="D129:D130" si="45">IF(C129=M129,K129,0)</f>
        <v>525654.24568457459</v>
      </c>
      <c r="E129" s="30">
        <v>1041423</v>
      </c>
      <c r="F129" s="31">
        <v>0</v>
      </c>
      <c r="G129" s="2">
        <v>0</v>
      </c>
      <c r="H129" s="2">
        <v>0</v>
      </c>
      <c r="I129" s="30">
        <v>0</v>
      </c>
      <c r="J129" t="s">
        <v>252</v>
      </c>
      <c r="K129" s="2">
        <f>L129*VLOOKUP(A129,'APTL Reference'!$B$3:$E$21,4,FALSE)</f>
        <v>525654.24568457459</v>
      </c>
      <c r="L129" s="2">
        <v>56225</v>
      </c>
      <c r="M129" s="2">
        <v>276002</v>
      </c>
      <c r="N129" s="2">
        <v>17728</v>
      </c>
      <c r="O129" s="2">
        <f t="shared" ref="O129:O130" si="46">M129</f>
        <v>276002</v>
      </c>
      <c r="P129" s="2">
        <f t="shared" ref="P129:P130" si="47">N129</f>
        <v>17728</v>
      </c>
      <c r="Q129" s="41">
        <f t="shared" ref="Q129:Q131" si="48">E129/C129</f>
        <v>3.7732443967797336</v>
      </c>
      <c r="R129" s="42">
        <f t="shared" ref="R129:R131" si="49">M129/N129</f>
        <v>15.56870487364621</v>
      </c>
      <c r="S129" s="42">
        <f t="shared" ref="S129:S131" si="50">K129/L129</f>
        <v>9.3491195319621987</v>
      </c>
    </row>
    <row r="130" spans="1:19" x14ac:dyDescent="0.25">
      <c r="A130" t="s">
        <v>264</v>
      </c>
      <c r="B130" t="s">
        <v>311</v>
      </c>
      <c r="C130" s="2">
        <v>62007</v>
      </c>
      <c r="D130" s="2">
        <f t="shared" si="45"/>
        <v>104547.0077265986</v>
      </c>
      <c r="E130" s="30">
        <v>355939</v>
      </c>
      <c r="F130" s="31">
        <v>0</v>
      </c>
      <c r="G130" s="2">
        <v>0</v>
      </c>
      <c r="H130" s="2">
        <v>0</v>
      </c>
      <c r="I130" s="30">
        <v>0</v>
      </c>
      <c r="J130" t="s">
        <v>252</v>
      </c>
      <c r="K130" s="2">
        <f>L130*VLOOKUP(A130,'APTL Reference'!$B$3:$E$21,4,FALSE)</f>
        <v>104547.0077265986</v>
      </c>
      <c r="L130" s="2">
        <v>28023</v>
      </c>
      <c r="M130" s="2">
        <v>62007</v>
      </c>
      <c r="N130" s="2">
        <v>5520</v>
      </c>
      <c r="O130" s="2">
        <f t="shared" si="46"/>
        <v>62007</v>
      </c>
      <c r="P130" s="2">
        <f t="shared" si="47"/>
        <v>5520</v>
      </c>
      <c r="Q130" s="41">
        <f t="shared" si="48"/>
        <v>5.7403035141193737</v>
      </c>
      <c r="R130" s="42">
        <f t="shared" si="49"/>
        <v>11.233152173913043</v>
      </c>
      <c r="S130" s="42">
        <f t="shared" si="50"/>
        <v>3.7307571540020197</v>
      </c>
    </row>
    <row r="131" spans="1:19" ht="15.75" thickBot="1" x14ac:dyDescent="0.3">
      <c r="A131" s="34" t="s">
        <v>210</v>
      </c>
      <c r="B131" s="34" t="s">
        <v>210</v>
      </c>
      <c r="C131" s="35">
        <f>SUM(C128:C130)</f>
        <v>484384</v>
      </c>
      <c r="D131" s="35">
        <f t="shared" ref="D131" si="51">SUM(D128:D130)</f>
        <v>1565114.6626824078</v>
      </c>
      <c r="E131" s="35">
        <f t="shared" ref="E131" si="52">SUM(E128:E130)</f>
        <v>1805895</v>
      </c>
      <c r="F131" s="35">
        <f t="shared" ref="F131" si="53">SUM(F128:F130)</f>
        <v>0</v>
      </c>
      <c r="G131" s="35">
        <f t="shared" ref="G131" si="54">SUM(G128:G130)</f>
        <v>0</v>
      </c>
      <c r="H131" s="35">
        <f t="shared" ref="H131" si="55">SUM(H128:H130)</f>
        <v>0</v>
      </c>
      <c r="I131" s="35">
        <f t="shared" ref="I131" si="56">SUM(I128:I130)</f>
        <v>0</v>
      </c>
      <c r="J131" s="34" t="s">
        <v>252</v>
      </c>
      <c r="K131" s="35">
        <f>SUM(K128:K130)</f>
        <v>1565114.6626824078</v>
      </c>
      <c r="L131" s="35">
        <f t="shared" ref="L131" si="57">SUM(L128:L130)</f>
        <v>123452</v>
      </c>
      <c r="M131" s="35">
        <f t="shared" ref="M131" si="58">SUM(M128:M130)</f>
        <v>484384</v>
      </c>
      <c r="N131" s="35">
        <f t="shared" ref="N131" si="59">SUM(N128:N130)</f>
        <v>29573</v>
      </c>
      <c r="O131" s="35">
        <f t="shared" ref="O131" si="60">SUM(O128:O130)</f>
        <v>484384</v>
      </c>
      <c r="P131" s="35">
        <f t="shared" ref="P131" si="61">SUM(P128:P130)</f>
        <v>29573</v>
      </c>
      <c r="Q131" s="41">
        <f t="shared" si="48"/>
        <v>3.7282300819184777</v>
      </c>
      <c r="R131" s="42">
        <f t="shared" si="49"/>
        <v>16.379264869982755</v>
      </c>
      <c r="S131" s="42">
        <f t="shared" si="50"/>
        <v>12.67792067104954</v>
      </c>
    </row>
    <row r="133" spans="1:19" x14ac:dyDescent="0.25">
      <c r="A133" s="29" t="s">
        <v>257</v>
      </c>
    </row>
    <row r="134" spans="1:19" x14ac:dyDescent="0.25">
      <c r="A134" s="32" t="s">
        <v>232</v>
      </c>
      <c r="B134" s="32" t="s">
        <v>60</v>
      </c>
    </row>
    <row r="135" spans="1:19" x14ac:dyDescent="0.25">
      <c r="A135" s="39" t="s">
        <v>318</v>
      </c>
      <c r="B135" s="49">
        <v>60376</v>
      </c>
    </row>
    <row r="136" spans="1:19" x14ac:dyDescent="0.25">
      <c r="A136" s="39"/>
      <c r="B136" s="2"/>
    </row>
    <row r="137" spans="1:19" x14ac:dyDescent="0.25">
      <c r="A137" s="39"/>
      <c r="B137" s="2"/>
    </row>
    <row r="138" spans="1:19" x14ac:dyDescent="0.25">
      <c r="A138" s="39"/>
      <c r="B138" s="2"/>
    </row>
    <row r="139" spans="1:19" ht="15.75" thickBot="1" x14ac:dyDescent="0.3">
      <c r="A139" s="34" t="s">
        <v>210</v>
      </c>
      <c r="B139" s="35">
        <f>SUM(B135:B138)</f>
        <v>60376</v>
      </c>
    </row>
    <row r="141" spans="1:19" x14ac:dyDescent="0.25">
      <c r="A141" s="32" t="s">
        <v>223</v>
      </c>
      <c r="B141" s="32" t="s">
        <v>231</v>
      </c>
    </row>
    <row r="142" spans="1:19" x14ac:dyDescent="0.25">
      <c r="A142" t="s">
        <v>317</v>
      </c>
      <c r="B142" s="1">
        <v>38687</v>
      </c>
    </row>
    <row r="143" spans="1:19" x14ac:dyDescent="0.25">
      <c r="B143" s="2"/>
    </row>
    <row r="144" spans="1:19" ht="15.75" thickBot="1" x14ac:dyDescent="0.3">
      <c r="A144" s="34" t="s">
        <v>210</v>
      </c>
      <c r="B144" s="35">
        <f>SUM(B142:B143)</f>
        <v>38687</v>
      </c>
    </row>
    <row r="145" spans="1:19" x14ac:dyDescent="0.25">
      <c r="A145" s="39" t="s">
        <v>302</v>
      </c>
      <c r="B145" s="2">
        <f>IF(B144&lt;50000,50000,"")</f>
        <v>50000</v>
      </c>
    </row>
    <row r="146" spans="1:19" x14ac:dyDescent="0.25">
      <c r="A146" t="s">
        <v>230</v>
      </c>
      <c r="B146" s="36">
        <f>IFERROR(IF(B145=50000,B145/B139,B144/B139),"")</f>
        <v>0.82814363323174767</v>
      </c>
    </row>
    <row r="148" spans="1:19" x14ac:dyDescent="0.25">
      <c r="A148" s="29" t="s">
        <v>255</v>
      </c>
    </row>
    <row r="149" spans="1:19" ht="45" x14ac:dyDescent="0.25">
      <c r="A149" t="s">
        <v>314</v>
      </c>
      <c r="B149" s="43" t="s">
        <v>248</v>
      </c>
      <c r="C149" s="43" t="s">
        <v>233</v>
      </c>
      <c r="D149" s="43" t="s">
        <v>234</v>
      </c>
      <c r="E149" s="43" t="s">
        <v>235</v>
      </c>
      <c r="F149" s="43" t="s">
        <v>236</v>
      </c>
      <c r="G149" s="43" t="s">
        <v>237</v>
      </c>
      <c r="H149" s="43" t="s">
        <v>238</v>
      </c>
      <c r="I149" s="43" t="s">
        <v>239</v>
      </c>
      <c r="J149" s="43" t="s">
        <v>240</v>
      </c>
      <c r="K149" s="43" t="s">
        <v>241</v>
      </c>
      <c r="L149" s="43" t="s">
        <v>242</v>
      </c>
      <c r="M149" s="43" t="s">
        <v>243</v>
      </c>
      <c r="N149" s="43" t="s">
        <v>244</v>
      </c>
      <c r="O149" s="44" t="s">
        <v>245</v>
      </c>
      <c r="P149" s="44" t="s">
        <v>246</v>
      </c>
      <c r="Q149" s="40" t="s">
        <v>283</v>
      </c>
      <c r="R149" s="40" t="s">
        <v>282</v>
      </c>
      <c r="S149" s="40" t="s">
        <v>286</v>
      </c>
    </row>
    <row r="150" spans="1:19" ht="15.75" thickBot="1" x14ac:dyDescent="0.3">
      <c r="A150" s="51" t="s">
        <v>22</v>
      </c>
      <c r="B150" s="34" t="s">
        <v>210</v>
      </c>
      <c r="C150" s="35">
        <f t="shared" ref="C150:P150" si="62">IF(ISNUMBER(C131),$B146*C131,C131)</f>
        <v>401139.52563932684</v>
      </c>
      <c r="D150" s="35">
        <f t="shared" si="62"/>
        <v>1296139.7431780903</v>
      </c>
      <c r="E150" s="35">
        <f t="shared" si="62"/>
        <v>1495540.4465350469</v>
      </c>
      <c r="F150" s="35">
        <f t="shared" si="62"/>
        <v>0</v>
      </c>
      <c r="G150" s="35">
        <f t="shared" si="62"/>
        <v>0</v>
      </c>
      <c r="H150" s="35">
        <f t="shared" si="62"/>
        <v>0</v>
      </c>
      <c r="I150" s="35">
        <f t="shared" si="62"/>
        <v>0</v>
      </c>
      <c r="J150" s="35" t="str">
        <f t="shared" si="62"/>
        <v>No</v>
      </c>
      <c r="K150" s="35">
        <f t="shared" si="62"/>
        <v>1296139.7431780903</v>
      </c>
      <c r="L150" s="35">
        <f t="shared" si="62"/>
        <v>102235.98780972572</v>
      </c>
      <c r="M150" s="35">
        <f t="shared" si="62"/>
        <v>401139.52563932684</v>
      </c>
      <c r="N150" s="35">
        <f t="shared" si="62"/>
        <v>24490.691665562474</v>
      </c>
      <c r="O150" s="35">
        <f t="shared" si="62"/>
        <v>401139.52563932684</v>
      </c>
      <c r="P150" s="35">
        <f t="shared" si="62"/>
        <v>24490.691665562474</v>
      </c>
      <c r="Q150" s="45">
        <f>E150/C150</f>
        <v>3.7282300819184782</v>
      </c>
      <c r="R150" s="46">
        <f>M150/N150</f>
        <v>16.379264869982755</v>
      </c>
      <c r="S150" s="37">
        <f>K150/L150</f>
        <v>12.677920671049538</v>
      </c>
    </row>
    <row r="152" spans="1:19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</row>
    <row r="154" spans="1:19" x14ac:dyDescent="0.25">
      <c r="A154" s="26" t="s">
        <v>320</v>
      </c>
    </row>
    <row r="155" spans="1:19" x14ac:dyDescent="0.25">
      <c r="A155" s="29" t="s">
        <v>256</v>
      </c>
      <c r="B155" s="50" t="s">
        <v>27</v>
      </c>
      <c r="C155" t="s">
        <v>321</v>
      </c>
      <c r="F155" t="s">
        <v>322</v>
      </c>
    </row>
    <row r="156" spans="1:19" ht="45" x14ac:dyDescent="0.25">
      <c r="A156" s="32" t="s">
        <v>247</v>
      </c>
      <c r="B156" s="32" t="s">
        <v>248</v>
      </c>
      <c r="C156" s="32" t="s">
        <v>233</v>
      </c>
      <c r="D156" s="32" t="s">
        <v>234</v>
      </c>
      <c r="E156" s="32" t="s">
        <v>235</v>
      </c>
      <c r="F156" s="32" t="s">
        <v>236</v>
      </c>
      <c r="G156" s="32" t="s">
        <v>237</v>
      </c>
      <c r="H156" s="32" t="s">
        <v>238</v>
      </c>
      <c r="I156" s="32" t="s">
        <v>239</v>
      </c>
      <c r="J156" s="32" t="s">
        <v>240</v>
      </c>
      <c r="K156" s="32" t="s">
        <v>241</v>
      </c>
      <c r="L156" s="32" t="s">
        <v>242</v>
      </c>
      <c r="M156" s="32" t="s">
        <v>243</v>
      </c>
      <c r="N156" s="32" t="s">
        <v>244</v>
      </c>
      <c r="O156" s="33" t="s">
        <v>245</v>
      </c>
      <c r="P156" s="33" t="s">
        <v>246</v>
      </c>
      <c r="Q156" s="40" t="s">
        <v>283</v>
      </c>
      <c r="R156" s="40" t="s">
        <v>282</v>
      </c>
      <c r="S156" s="40" t="s">
        <v>286</v>
      </c>
    </row>
    <row r="157" spans="1:19" x14ac:dyDescent="0.25">
      <c r="A157" t="s">
        <v>250</v>
      </c>
      <c r="B157" t="s">
        <v>251</v>
      </c>
      <c r="C157" s="2">
        <v>135621</v>
      </c>
      <c r="D157" s="2">
        <f>IF(C157=M157,K157,0)</f>
        <v>107168.95719488268</v>
      </c>
      <c r="E157" s="30">
        <v>602578</v>
      </c>
      <c r="F157" s="31">
        <v>0</v>
      </c>
      <c r="G157" s="2">
        <v>0</v>
      </c>
      <c r="H157" s="2">
        <v>0</v>
      </c>
      <c r="I157" s="30">
        <v>0</v>
      </c>
      <c r="J157" t="s">
        <v>252</v>
      </c>
      <c r="K157" s="2">
        <f>L157*VLOOKUP(A157,'APTL Reference'!$B$3:$E$21,4,FALSE)</f>
        <v>107168.95719488268</v>
      </c>
      <c r="L157" s="2">
        <v>11463</v>
      </c>
      <c r="M157" s="2">
        <v>135621</v>
      </c>
      <c r="N157" s="2">
        <v>7976</v>
      </c>
      <c r="O157" s="2">
        <f>M157</f>
        <v>135621</v>
      </c>
      <c r="P157" s="2">
        <f>N157</f>
        <v>7976</v>
      </c>
      <c r="Q157" s="41">
        <f>E157/C157</f>
        <v>4.4431024693815857</v>
      </c>
      <c r="R157" s="42">
        <f>M157/N157</f>
        <v>17.003635907723169</v>
      </c>
      <c r="S157" s="42">
        <f>K157/L157</f>
        <v>9.3491195319621987</v>
      </c>
    </row>
    <row r="158" spans="1:19" x14ac:dyDescent="0.25">
      <c r="A158" t="s">
        <v>264</v>
      </c>
      <c r="B158" t="s">
        <v>251</v>
      </c>
      <c r="C158" s="2">
        <v>331961</v>
      </c>
      <c r="D158" s="2">
        <f t="shared" ref="D158" si="63">IF(C158=M158,K158,0)</f>
        <v>188679.31230649818</v>
      </c>
      <c r="E158" s="30">
        <v>856463</v>
      </c>
      <c r="F158" s="31">
        <v>0</v>
      </c>
      <c r="G158" s="2">
        <v>0</v>
      </c>
      <c r="H158" s="2">
        <v>0</v>
      </c>
      <c r="I158" s="30">
        <v>0</v>
      </c>
      <c r="J158" t="s">
        <v>252</v>
      </c>
      <c r="K158" s="2">
        <f>L158*VLOOKUP(A158,'APTL Reference'!$B$3:$E$21,4,FALSE)</f>
        <v>188679.31230649818</v>
      </c>
      <c r="L158" s="2">
        <v>50574</v>
      </c>
      <c r="M158" s="2">
        <v>331961</v>
      </c>
      <c r="N158" s="2">
        <v>10048</v>
      </c>
      <c r="O158" s="2">
        <f t="shared" ref="O158" si="64">M158</f>
        <v>331961</v>
      </c>
      <c r="P158" s="2">
        <f t="shared" ref="P158" si="65">N158</f>
        <v>10048</v>
      </c>
      <c r="Q158" s="41">
        <f t="shared" ref="Q158:Q160" si="66">E158/C158</f>
        <v>2.5800109048954547</v>
      </c>
      <c r="R158" s="42">
        <f t="shared" ref="R158:R160" si="67">M158/N158</f>
        <v>33.037519904458598</v>
      </c>
      <c r="S158" s="42">
        <f t="shared" ref="S158:S160" si="68">K158/L158</f>
        <v>3.7307571540020206</v>
      </c>
    </row>
    <row r="159" spans="1:19" x14ac:dyDescent="0.25">
      <c r="C159" s="2"/>
      <c r="D159" s="2"/>
      <c r="E159" s="30"/>
      <c r="F159" s="31"/>
      <c r="G159" s="2"/>
      <c r="H159" s="2"/>
      <c r="I159" s="30"/>
      <c r="K159" s="2"/>
      <c r="L159" s="2"/>
      <c r="M159" s="2"/>
      <c r="N159" s="2"/>
      <c r="O159" s="2"/>
      <c r="P159" s="2"/>
      <c r="Q159" s="41"/>
      <c r="R159" s="42"/>
      <c r="S159" s="42"/>
    </row>
    <row r="160" spans="1:19" ht="15.75" thickBot="1" x14ac:dyDescent="0.3">
      <c r="A160" s="34" t="s">
        <v>210</v>
      </c>
      <c r="B160" s="34" t="s">
        <v>210</v>
      </c>
      <c r="C160" s="35">
        <f>SUM(C157:C159)</f>
        <v>467582</v>
      </c>
      <c r="D160" s="35">
        <f t="shared" ref="D160:I160" si="69">SUM(D157:D159)</f>
        <v>295848.26950138086</v>
      </c>
      <c r="E160" s="35">
        <f t="shared" si="69"/>
        <v>1459041</v>
      </c>
      <c r="F160" s="35">
        <f t="shared" si="69"/>
        <v>0</v>
      </c>
      <c r="G160" s="35">
        <f t="shared" si="69"/>
        <v>0</v>
      </c>
      <c r="H160" s="35">
        <f t="shared" si="69"/>
        <v>0</v>
      </c>
      <c r="I160" s="35">
        <f t="shared" si="69"/>
        <v>0</v>
      </c>
      <c r="J160" s="34" t="s">
        <v>252</v>
      </c>
      <c r="K160" s="35">
        <f>SUM(K157:K159)</f>
        <v>295848.26950138086</v>
      </c>
      <c r="L160" s="35">
        <f t="shared" ref="L160:P160" si="70">SUM(L157:L159)</f>
        <v>62037</v>
      </c>
      <c r="M160" s="35">
        <f t="shared" si="70"/>
        <v>467582</v>
      </c>
      <c r="N160" s="35">
        <f t="shared" si="70"/>
        <v>18024</v>
      </c>
      <c r="O160" s="35">
        <f t="shared" si="70"/>
        <v>467582</v>
      </c>
      <c r="P160" s="35">
        <f t="shared" si="70"/>
        <v>18024</v>
      </c>
      <c r="Q160" s="41">
        <f t="shared" si="66"/>
        <v>3.1203959947132267</v>
      </c>
      <c r="R160" s="42">
        <f t="shared" si="67"/>
        <v>25.942188193519751</v>
      </c>
      <c r="S160" s="42">
        <f t="shared" si="68"/>
        <v>4.7689003256343936</v>
      </c>
    </row>
    <row r="162" spans="1:3" x14ac:dyDescent="0.25">
      <c r="A162" s="29" t="s">
        <v>257</v>
      </c>
    </row>
    <row r="163" spans="1:3" x14ac:dyDescent="0.25">
      <c r="A163" s="32" t="s">
        <v>232</v>
      </c>
      <c r="B163" s="32" t="s">
        <v>60</v>
      </c>
    </row>
    <row r="164" spans="1:3" x14ac:dyDescent="0.25">
      <c r="A164" s="39" t="s">
        <v>323</v>
      </c>
      <c r="B164" s="49">
        <v>1264</v>
      </c>
      <c r="C164" t="s">
        <v>331</v>
      </c>
    </row>
    <row r="165" spans="1:3" x14ac:dyDescent="0.25">
      <c r="A165" s="39" t="s">
        <v>324</v>
      </c>
      <c r="B165" s="2">
        <v>2678</v>
      </c>
    </row>
    <row r="166" spans="1:3" x14ac:dyDescent="0.25">
      <c r="A166" s="39" t="s">
        <v>325</v>
      </c>
      <c r="B166" s="2">
        <v>1977</v>
      </c>
    </row>
    <row r="167" spans="1:3" x14ac:dyDescent="0.25">
      <c r="A167" s="39" t="s">
        <v>330</v>
      </c>
      <c r="B167" s="2">
        <v>17457</v>
      </c>
    </row>
    <row r="168" spans="1:3" x14ac:dyDescent="0.25">
      <c r="A168" s="39" t="s">
        <v>329</v>
      </c>
      <c r="B168" s="2">
        <v>8149</v>
      </c>
    </row>
    <row r="169" spans="1:3" x14ac:dyDescent="0.25">
      <c r="A169" s="39" t="s">
        <v>326</v>
      </c>
      <c r="B169" s="2">
        <v>10071</v>
      </c>
    </row>
    <row r="170" spans="1:3" x14ac:dyDescent="0.25">
      <c r="A170" s="39" t="s">
        <v>327</v>
      </c>
      <c r="B170" s="2">
        <v>7131</v>
      </c>
    </row>
    <row r="171" spans="1:3" x14ac:dyDescent="0.25">
      <c r="A171" s="39" t="s">
        <v>328</v>
      </c>
      <c r="B171" s="2">
        <v>4015</v>
      </c>
    </row>
    <row r="172" spans="1:3" ht="15.75" thickBot="1" x14ac:dyDescent="0.3">
      <c r="A172" s="34" t="s">
        <v>210</v>
      </c>
      <c r="B172" s="35">
        <f>SUM(B164:B171)</f>
        <v>52742</v>
      </c>
    </row>
    <row r="174" spans="1:3" x14ac:dyDescent="0.25">
      <c r="A174" s="32" t="s">
        <v>223</v>
      </c>
      <c r="B174" s="32" t="s">
        <v>231</v>
      </c>
    </row>
    <row r="175" spans="1:3" x14ac:dyDescent="0.25">
      <c r="A175" s="39" t="s">
        <v>329</v>
      </c>
      <c r="B175" s="1">
        <f>B168</f>
        <v>8149</v>
      </c>
    </row>
    <row r="176" spans="1:3" x14ac:dyDescent="0.25">
      <c r="A176" s="39" t="s">
        <v>330</v>
      </c>
      <c r="B176" s="1">
        <f>B167</f>
        <v>17457</v>
      </c>
    </row>
    <row r="177" spans="1:19" x14ac:dyDescent="0.25">
      <c r="A177" s="39" t="s">
        <v>326</v>
      </c>
      <c r="B177" s="1">
        <f>B169</f>
        <v>10071</v>
      </c>
    </row>
    <row r="178" spans="1:19" x14ac:dyDescent="0.25">
      <c r="A178" s="39"/>
      <c r="B178" s="2"/>
      <c r="F178" t="s">
        <v>332</v>
      </c>
    </row>
    <row r="179" spans="1:19" ht="15.75" thickBot="1" x14ac:dyDescent="0.3">
      <c r="A179" s="34" t="s">
        <v>210</v>
      </c>
      <c r="B179" s="35">
        <f>SUM(B175:B178)</f>
        <v>35677</v>
      </c>
    </row>
    <row r="180" spans="1:19" x14ac:dyDescent="0.25">
      <c r="A180" s="39" t="s">
        <v>302</v>
      </c>
      <c r="B180" s="2">
        <f>IF(B179&lt;50000,50000,"")</f>
        <v>50000</v>
      </c>
    </row>
    <row r="181" spans="1:19" x14ac:dyDescent="0.25">
      <c r="A181" t="s">
        <v>230</v>
      </c>
      <c r="B181" s="36">
        <f>IFERROR(IF(B180=50000,B180/B172,B179/B172),"")</f>
        <v>0.94801107276932994</v>
      </c>
    </row>
    <row r="183" spans="1:19" x14ac:dyDescent="0.25">
      <c r="A183" s="29" t="s">
        <v>255</v>
      </c>
    </row>
    <row r="184" spans="1:19" ht="45" x14ac:dyDescent="0.25">
      <c r="A184" t="s">
        <v>314</v>
      </c>
      <c r="B184" s="43" t="s">
        <v>248</v>
      </c>
      <c r="C184" s="43" t="s">
        <v>233</v>
      </c>
      <c r="D184" s="43" t="s">
        <v>234</v>
      </c>
      <c r="E184" s="43" t="s">
        <v>235</v>
      </c>
      <c r="F184" s="43" t="s">
        <v>236</v>
      </c>
      <c r="G184" s="43" t="s">
        <v>237</v>
      </c>
      <c r="H184" s="43" t="s">
        <v>238</v>
      </c>
      <c r="I184" s="43" t="s">
        <v>239</v>
      </c>
      <c r="J184" s="43" t="s">
        <v>240</v>
      </c>
      <c r="K184" s="43" t="s">
        <v>241</v>
      </c>
      <c r="L184" s="43" t="s">
        <v>242</v>
      </c>
      <c r="M184" s="43" t="s">
        <v>243</v>
      </c>
      <c r="N184" s="43" t="s">
        <v>244</v>
      </c>
      <c r="O184" s="44" t="s">
        <v>245</v>
      </c>
      <c r="P184" s="44" t="s">
        <v>246</v>
      </c>
      <c r="Q184" s="40" t="s">
        <v>283</v>
      </c>
      <c r="R184" s="40" t="s">
        <v>282</v>
      </c>
      <c r="S184" s="40" t="s">
        <v>286</v>
      </c>
    </row>
    <row r="185" spans="1:19" ht="15.75" thickBot="1" x14ac:dyDescent="0.3">
      <c r="A185" s="51" t="s">
        <v>25</v>
      </c>
      <c r="B185" s="34" t="s">
        <v>210</v>
      </c>
      <c r="C185" s="35">
        <f t="shared" ref="C185:P185" si="71">IF(ISNUMBER(C160),$B181*C160,C160)</f>
        <v>443272.91342762881</v>
      </c>
      <c r="D185" s="35">
        <f t="shared" si="71"/>
        <v>280467.43534695392</v>
      </c>
      <c r="E185" s="35">
        <f t="shared" si="71"/>
        <v>1383187.023624436</v>
      </c>
      <c r="F185" s="35">
        <f t="shared" si="71"/>
        <v>0</v>
      </c>
      <c r="G185" s="35">
        <f t="shared" si="71"/>
        <v>0</v>
      </c>
      <c r="H185" s="35">
        <f t="shared" si="71"/>
        <v>0</v>
      </c>
      <c r="I185" s="35">
        <f t="shared" si="71"/>
        <v>0</v>
      </c>
      <c r="J185" s="35" t="str">
        <f t="shared" si="71"/>
        <v>No</v>
      </c>
      <c r="K185" s="35">
        <f t="shared" si="71"/>
        <v>280467.43534695392</v>
      </c>
      <c r="L185" s="35">
        <f t="shared" si="71"/>
        <v>58811.762921390924</v>
      </c>
      <c r="M185" s="35">
        <f t="shared" si="71"/>
        <v>443272.91342762881</v>
      </c>
      <c r="N185" s="35">
        <f t="shared" si="71"/>
        <v>17086.951575594401</v>
      </c>
      <c r="O185" s="35">
        <f t="shared" si="71"/>
        <v>443272.91342762881</v>
      </c>
      <c r="P185" s="35">
        <f t="shared" si="71"/>
        <v>17086.951575594401</v>
      </c>
      <c r="Q185" s="45">
        <f>E185/C185</f>
        <v>3.1203959947132272</v>
      </c>
      <c r="R185" s="46">
        <f>M185/N185</f>
        <v>25.942188193519751</v>
      </c>
      <c r="S185" s="37">
        <f>K185/L185</f>
        <v>4.7689003256343936</v>
      </c>
    </row>
    <row r="187" spans="1:19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</row>
    <row r="189" spans="1:19" x14ac:dyDescent="0.25">
      <c r="A189" s="26" t="s">
        <v>333</v>
      </c>
    </row>
    <row r="190" spans="1:19" x14ac:dyDescent="0.25">
      <c r="A190" s="29" t="s">
        <v>256</v>
      </c>
      <c r="B190" s="50" t="s">
        <v>39</v>
      </c>
      <c r="C190" t="s">
        <v>334</v>
      </c>
      <c r="F190" t="s">
        <v>322</v>
      </c>
    </row>
    <row r="191" spans="1:19" ht="45" x14ac:dyDescent="0.25">
      <c r="A191" s="32" t="s">
        <v>247</v>
      </c>
      <c r="B191" s="32" t="s">
        <v>248</v>
      </c>
      <c r="C191" s="32" t="s">
        <v>233</v>
      </c>
      <c r="D191" s="32" t="s">
        <v>234</v>
      </c>
      <c r="E191" s="32" t="s">
        <v>235</v>
      </c>
      <c r="F191" s="32" t="s">
        <v>236</v>
      </c>
      <c r="G191" s="32" t="s">
        <v>237</v>
      </c>
      <c r="H191" s="32" t="s">
        <v>238</v>
      </c>
      <c r="I191" s="32" t="s">
        <v>239</v>
      </c>
      <c r="J191" s="32" t="s">
        <v>240</v>
      </c>
      <c r="K191" s="32" t="s">
        <v>241</v>
      </c>
      <c r="L191" s="32" t="s">
        <v>242</v>
      </c>
      <c r="M191" s="32" t="s">
        <v>243</v>
      </c>
      <c r="N191" s="32" t="s">
        <v>244</v>
      </c>
      <c r="O191" s="33" t="s">
        <v>245</v>
      </c>
      <c r="P191" s="33" t="s">
        <v>246</v>
      </c>
      <c r="Q191" s="40" t="s">
        <v>283</v>
      </c>
      <c r="R191" s="40" t="s">
        <v>282</v>
      </c>
      <c r="S191" s="40" t="s">
        <v>286</v>
      </c>
    </row>
    <row r="192" spans="1:19" x14ac:dyDescent="0.25">
      <c r="A192" t="s">
        <v>250</v>
      </c>
      <c r="B192" t="s">
        <v>251</v>
      </c>
      <c r="C192" s="2">
        <v>803081</v>
      </c>
      <c r="D192" s="2">
        <f>IF(C192=M192,K192,0)</f>
        <v>531665.72954362631</v>
      </c>
      <c r="E192" s="30">
        <v>1340361</v>
      </c>
      <c r="F192" s="31">
        <v>0</v>
      </c>
      <c r="G192" s="2">
        <v>0</v>
      </c>
      <c r="H192" s="2">
        <v>0</v>
      </c>
      <c r="I192" s="30">
        <v>0</v>
      </c>
      <c r="J192" t="s">
        <v>252</v>
      </c>
      <c r="K192" s="2">
        <f>L192*VLOOKUP(A192,'APTL Reference'!$B$3:$E$21,4,FALSE)</f>
        <v>531665.72954362631</v>
      </c>
      <c r="L192" s="2">
        <v>56868</v>
      </c>
      <c r="M192" s="2">
        <v>803081</v>
      </c>
      <c r="N192" s="2">
        <v>42020</v>
      </c>
      <c r="O192" s="2">
        <f>M192</f>
        <v>803081</v>
      </c>
      <c r="P192" s="2">
        <f>N192</f>
        <v>42020</v>
      </c>
      <c r="Q192" s="41">
        <f>E192/C192</f>
        <v>1.6690234235400911</v>
      </c>
      <c r="R192" s="42">
        <f>M192/N192</f>
        <v>19.111875297477393</v>
      </c>
      <c r="S192" s="42">
        <f>K192/L192</f>
        <v>9.3491195319621987</v>
      </c>
    </row>
    <row r="193" spans="1:19" x14ac:dyDescent="0.25">
      <c r="C193" s="2"/>
      <c r="D193" s="2"/>
      <c r="E193" s="30"/>
      <c r="F193" s="31"/>
      <c r="G193" s="2"/>
      <c r="H193" s="2"/>
      <c r="I193" s="30"/>
      <c r="K193" s="2"/>
      <c r="L193" s="2"/>
      <c r="M193" s="2"/>
      <c r="N193" s="2"/>
      <c r="O193" s="2"/>
      <c r="P193" s="2"/>
      <c r="Q193" s="41"/>
      <c r="R193" s="42"/>
      <c r="S193" s="42"/>
    </row>
    <row r="194" spans="1:19" x14ac:dyDescent="0.25">
      <c r="C194" s="2"/>
      <c r="D194" s="2"/>
      <c r="E194" s="30"/>
      <c r="F194" s="31"/>
      <c r="G194" s="2"/>
      <c r="H194" s="2"/>
      <c r="I194" s="30"/>
      <c r="K194" s="2"/>
      <c r="L194" s="2"/>
      <c r="M194" s="2"/>
      <c r="N194" s="2"/>
      <c r="O194" s="2"/>
      <c r="P194" s="2"/>
      <c r="Q194" s="41"/>
      <c r="R194" s="42"/>
      <c r="S194" s="42"/>
    </row>
    <row r="195" spans="1:19" ht="15.75" thickBot="1" x14ac:dyDescent="0.3">
      <c r="A195" s="34" t="s">
        <v>210</v>
      </c>
      <c r="B195" s="34" t="s">
        <v>210</v>
      </c>
      <c r="C195" s="35">
        <f>SUM(C192:C194)</f>
        <v>803081</v>
      </c>
      <c r="D195" s="35">
        <f t="shared" ref="D195:I195" si="72">SUM(D192:D194)</f>
        <v>531665.72954362631</v>
      </c>
      <c r="E195" s="35">
        <f t="shared" si="72"/>
        <v>1340361</v>
      </c>
      <c r="F195" s="35">
        <f t="shared" si="72"/>
        <v>0</v>
      </c>
      <c r="G195" s="35">
        <f t="shared" si="72"/>
        <v>0</v>
      </c>
      <c r="H195" s="35">
        <f t="shared" si="72"/>
        <v>0</v>
      </c>
      <c r="I195" s="35">
        <f t="shared" si="72"/>
        <v>0</v>
      </c>
      <c r="J195" s="34" t="s">
        <v>252</v>
      </c>
      <c r="K195" s="35">
        <f>SUM(K192:K194)</f>
        <v>531665.72954362631</v>
      </c>
      <c r="L195" s="35">
        <f t="shared" ref="L195:P195" si="73">SUM(L192:L194)</f>
        <v>56868</v>
      </c>
      <c r="M195" s="35">
        <f t="shared" si="73"/>
        <v>803081</v>
      </c>
      <c r="N195" s="35">
        <f t="shared" si="73"/>
        <v>42020</v>
      </c>
      <c r="O195" s="35">
        <f t="shared" si="73"/>
        <v>803081</v>
      </c>
      <c r="P195" s="35">
        <f t="shared" si="73"/>
        <v>42020</v>
      </c>
      <c r="Q195" s="41">
        <f t="shared" ref="Q195" si="74">E195/C195</f>
        <v>1.6690234235400911</v>
      </c>
      <c r="R195" s="42">
        <f t="shared" ref="R195" si="75">M195/N195</f>
        <v>19.111875297477393</v>
      </c>
      <c r="S195" s="42">
        <f t="shared" ref="S195" si="76">K195/L195</f>
        <v>9.3491195319621987</v>
      </c>
    </row>
    <row r="197" spans="1:19" x14ac:dyDescent="0.25">
      <c r="A197" s="29" t="s">
        <v>257</v>
      </c>
    </row>
    <row r="198" spans="1:19" x14ac:dyDescent="0.25">
      <c r="A198" s="32" t="s">
        <v>232</v>
      </c>
      <c r="B198" s="32" t="s">
        <v>60</v>
      </c>
    </row>
    <row r="199" spans="1:19" x14ac:dyDescent="0.25">
      <c r="A199" s="39" t="s">
        <v>335</v>
      </c>
      <c r="B199" s="49">
        <v>91987</v>
      </c>
    </row>
    <row r="200" spans="1:19" x14ac:dyDescent="0.25">
      <c r="A200" s="39" t="s">
        <v>336</v>
      </c>
      <c r="B200" s="2">
        <v>27332</v>
      </c>
    </row>
    <row r="201" spans="1:19" x14ac:dyDescent="0.25">
      <c r="A201" s="39"/>
      <c r="B201" s="2"/>
    </row>
    <row r="202" spans="1:19" x14ac:dyDescent="0.25">
      <c r="A202" s="39"/>
      <c r="B202" s="2"/>
    </row>
    <row r="203" spans="1:19" x14ac:dyDescent="0.25">
      <c r="A203" s="39"/>
      <c r="B203" s="2"/>
    </row>
    <row r="204" spans="1:19" x14ac:dyDescent="0.25">
      <c r="A204" s="39"/>
      <c r="B204" s="2"/>
    </row>
    <row r="205" spans="1:19" x14ac:dyDescent="0.25">
      <c r="A205" s="39"/>
      <c r="B205" s="2"/>
    </row>
    <row r="206" spans="1:19" x14ac:dyDescent="0.25">
      <c r="A206" s="39"/>
      <c r="B206" s="2"/>
    </row>
    <row r="207" spans="1:19" ht="15.75" thickBot="1" x14ac:dyDescent="0.3">
      <c r="A207" s="34" t="s">
        <v>210</v>
      </c>
      <c r="B207" s="35">
        <f>SUM(B199:B206)</f>
        <v>119319</v>
      </c>
    </row>
    <row r="209" spans="1:19" x14ac:dyDescent="0.25">
      <c r="A209" s="32" t="s">
        <v>223</v>
      </c>
      <c r="B209" s="32" t="s">
        <v>231</v>
      </c>
    </row>
    <row r="210" spans="1:19" x14ac:dyDescent="0.25">
      <c r="A210" s="39" t="s">
        <v>337</v>
      </c>
      <c r="B210" s="1">
        <v>17446</v>
      </c>
    </row>
    <row r="211" spans="1:19" x14ac:dyDescent="0.25">
      <c r="A211" s="39" t="s">
        <v>338</v>
      </c>
      <c r="B211" s="1">
        <v>12774</v>
      </c>
    </row>
    <row r="212" spans="1:19" x14ac:dyDescent="0.25">
      <c r="A212" s="39"/>
      <c r="B212" s="1">
        <f>B204</f>
        <v>0</v>
      </c>
    </row>
    <row r="213" spans="1:19" x14ac:dyDescent="0.25">
      <c r="A213" s="39"/>
      <c r="B213" s="2"/>
    </row>
    <row r="214" spans="1:19" ht="15.75" thickBot="1" x14ac:dyDescent="0.3">
      <c r="A214" s="34" t="s">
        <v>210</v>
      </c>
      <c r="B214" s="35">
        <f>SUM(B210:B213)</f>
        <v>30220</v>
      </c>
    </row>
    <row r="215" spans="1:19" x14ac:dyDescent="0.25">
      <c r="A215" s="39" t="s">
        <v>302</v>
      </c>
      <c r="B215" s="2">
        <f>IF(B214&lt;50000,50000,"")</f>
        <v>50000</v>
      </c>
    </row>
    <row r="216" spans="1:19" x14ac:dyDescent="0.25">
      <c r="A216" t="s">
        <v>230</v>
      </c>
      <c r="B216" s="36">
        <f>IFERROR(IF(B215=50000,B215/B207,B214/B207),"")</f>
        <v>0.41904474559793492</v>
      </c>
    </row>
    <row r="218" spans="1:19" x14ac:dyDescent="0.25">
      <c r="A218" s="29" t="s">
        <v>255</v>
      </c>
    </row>
    <row r="219" spans="1:19" ht="45" x14ac:dyDescent="0.25">
      <c r="A219" t="s">
        <v>314</v>
      </c>
      <c r="B219" s="43" t="s">
        <v>248</v>
      </c>
      <c r="C219" s="43" t="s">
        <v>233</v>
      </c>
      <c r="D219" s="43" t="s">
        <v>234</v>
      </c>
      <c r="E219" s="43" t="s">
        <v>235</v>
      </c>
      <c r="F219" s="43" t="s">
        <v>236</v>
      </c>
      <c r="G219" s="43" t="s">
        <v>237</v>
      </c>
      <c r="H219" s="43" t="s">
        <v>238</v>
      </c>
      <c r="I219" s="43" t="s">
        <v>239</v>
      </c>
      <c r="J219" s="43" t="s">
        <v>240</v>
      </c>
      <c r="K219" s="43" t="s">
        <v>241</v>
      </c>
      <c r="L219" s="43" t="s">
        <v>242</v>
      </c>
      <c r="M219" s="43" t="s">
        <v>243</v>
      </c>
      <c r="N219" s="43" t="s">
        <v>244</v>
      </c>
      <c r="O219" s="44" t="s">
        <v>245</v>
      </c>
      <c r="P219" s="44" t="s">
        <v>246</v>
      </c>
      <c r="Q219" s="40" t="s">
        <v>283</v>
      </c>
      <c r="R219" s="40" t="s">
        <v>282</v>
      </c>
      <c r="S219" s="40" t="s">
        <v>286</v>
      </c>
    </row>
    <row r="220" spans="1:19" ht="15.75" thickBot="1" x14ac:dyDescent="0.3">
      <c r="A220" s="51" t="s">
        <v>37</v>
      </c>
      <c r="B220" s="34" t="s">
        <v>210</v>
      </c>
      <c r="C220" s="35">
        <f t="shared" ref="C220:P220" si="77">IF(ISNUMBER(C195),$B216*C195,C195)</f>
        <v>336526.87333953514</v>
      </c>
      <c r="D220" s="35">
        <f t="shared" si="77"/>
        <v>222791.73037974935</v>
      </c>
      <c r="E220" s="35">
        <f t="shared" si="77"/>
        <v>561671.23425439361</v>
      </c>
      <c r="F220" s="35">
        <f t="shared" si="77"/>
        <v>0</v>
      </c>
      <c r="G220" s="35">
        <f t="shared" si="77"/>
        <v>0</v>
      </c>
      <c r="H220" s="35">
        <f t="shared" si="77"/>
        <v>0</v>
      </c>
      <c r="I220" s="35">
        <f t="shared" si="77"/>
        <v>0</v>
      </c>
      <c r="J220" s="35" t="str">
        <f t="shared" si="77"/>
        <v>No</v>
      </c>
      <c r="K220" s="35">
        <f t="shared" si="77"/>
        <v>222791.73037974935</v>
      </c>
      <c r="L220" s="35">
        <f t="shared" si="77"/>
        <v>23830.236592663365</v>
      </c>
      <c r="M220" s="35">
        <f t="shared" si="77"/>
        <v>336526.87333953514</v>
      </c>
      <c r="N220" s="35">
        <f t="shared" si="77"/>
        <v>17608.260210025226</v>
      </c>
      <c r="O220" s="35">
        <f t="shared" si="77"/>
        <v>336526.87333953514</v>
      </c>
      <c r="P220" s="35">
        <f t="shared" si="77"/>
        <v>17608.260210025226</v>
      </c>
      <c r="Q220" s="45">
        <f>E220/C220</f>
        <v>1.6690234235400914</v>
      </c>
      <c r="R220" s="46">
        <f>M220/N220</f>
        <v>19.11187529747739</v>
      </c>
      <c r="S220" s="37">
        <f>K220/L220</f>
        <v>9.3491195319621969</v>
      </c>
    </row>
    <row r="222" spans="1:19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</row>
    <row r="224" spans="1:19" x14ac:dyDescent="0.25">
      <c r="A224" s="26" t="s">
        <v>339</v>
      </c>
    </row>
    <row r="225" spans="1:19" x14ac:dyDescent="0.25">
      <c r="A225" s="29" t="s">
        <v>256</v>
      </c>
      <c r="B225" s="50">
        <v>60090</v>
      </c>
      <c r="C225" t="s">
        <v>340</v>
      </c>
      <c r="H225" t="s">
        <v>341</v>
      </c>
      <c r="I225" t="s">
        <v>342</v>
      </c>
    </row>
    <row r="226" spans="1:19" ht="45" x14ac:dyDescent="0.25">
      <c r="A226" s="32" t="s">
        <v>247</v>
      </c>
      <c r="B226" s="32" t="s">
        <v>248</v>
      </c>
      <c r="C226" s="32" t="s">
        <v>233</v>
      </c>
      <c r="D226" s="32" t="s">
        <v>234</v>
      </c>
      <c r="E226" s="32" t="s">
        <v>235</v>
      </c>
      <c r="F226" s="32" t="s">
        <v>236</v>
      </c>
      <c r="G226" s="32" t="s">
        <v>237</v>
      </c>
      <c r="H226" s="32" t="s">
        <v>238</v>
      </c>
      <c r="I226" s="32" t="s">
        <v>239</v>
      </c>
      <c r="J226" s="32" t="s">
        <v>240</v>
      </c>
      <c r="K226" s="32" t="s">
        <v>241</v>
      </c>
      <c r="L226" s="32" t="s">
        <v>242</v>
      </c>
      <c r="M226" s="32" t="s">
        <v>243</v>
      </c>
      <c r="N226" s="32" t="s">
        <v>244</v>
      </c>
      <c r="O226" s="33" t="s">
        <v>245</v>
      </c>
      <c r="P226" s="33" t="s">
        <v>246</v>
      </c>
      <c r="Q226" s="40" t="s">
        <v>283</v>
      </c>
      <c r="R226" s="40" t="s">
        <v>282</v>
      </c>
      <c r="S226" s="40" t="s">
        <v>286</v>
      </c>
    </row>
    <row r="227" spans="1:19" x14ac:dyDescent="0.25">
      <c r="A227" t="s">
        <v>250</v>
      </c>
      <c r="B227" t="s">
        <v>251</v>
      </c>
      <c r="C227" s="2">
        <v>122018</v>
      </c>
      <c r="D227" s="2">
        <v>248516</v>
      </c>
      <c r="E227" s="30">
        <v>423461</v>
      </c>
      <c r="F227" s="31">
        <v>0</v>
      </c>
      <c r="G227" s="2">
        <v>0</v>
      </c>
      <c r="H227" s="2">
        <v>0</v>
      </c>
      <c r="I227" s="30">
        <v>0</v>
      </c>
      <c r="J227" t="s">
        <v>252</v>
      </c>
      <c r="K227" s="2">
        <v>248516</v>
      </c>
      <c r="L227" s="2">
        <v>14747</v>
      </c>
      <c r="M227" s="2">
        <v>122018</v>
      </c>
      <c r="N227" s="2">
        <v>5787</v>
      </c>
      <c r="O227" s="2">
        <f>M227</f>
        <v>122018</v>
      </c>
      <c r="P227" s="2">
        <f>N227</f>
        <v>5787</v>
      </c>
      <c r="Q227" s="41">
        <f>E227/C227</f>
        <v>3.4704797652805324</v>
      </c>
      <c r="R227" s="42">
        <f>M227/N227</f>
        <v>21.084845343010194</v>
      </c>
      <c r="S227" s="42">
        <f>K227/L227</f>
        <v>16.851969892181462</v>
      </c>
    </row>
    <row r="228" spans="1:19" x14ac:dyDescent="0.25">
      <c r="A228" t="s">
        <v>264</v>
      </c>
      <c r="B228" t="s">
        <v>251</v>
      </c>
      <c r="C228" s="2">
        <v>349934</v>
      </c>
      <c r="D228" s="2">
        <v>1000400</v>
      </c>
      <c r="E228" s="30">
        <v>1066248</v>
      </c>
      <c r="F228" s="31">
        <v>0</v>
      </c>
      <c r="G228" s="2">
        <v>0</v>
      </c>
      <c r="H228" s="2">
        <v>0</v>
      </c>
      <c r="I228" s="30">
        <v>0</v>
      </c>
      <c r="J228" t="s">
        <v>252</v>
      </c>
      <c r="K228" s="2">
        <v>1000400</v>
      </c>
      <c r="L228" s="2">
        <v>82039</v>
      </c>
      <c r="M228" s="2">
        <v>349934</v>
      </c>
      <c r="N228" s="2">
        <v>13548</v>
      </c>
      <c r="O228" s="2">
        <f>M228</f>
        <v>349934</v>
      </c>
      <c r="P228" s="2">
        <f>N228</f>
        <v>13548</v>
      </c>
      <c r="Q228" s="41">
        <f>E228/C228</f>
        <v>3.0469974338018027</v>
      </c>
      <c r="R228" s="42">
        <f>M228/N228</f>
        <v>25.829199881901388</v>
      </c>
      <c r="S228" s="42">
        <f>K228/L228</f>
        <v>12.194200319360304</v>
      </c>
    </row>
    <row r="229" spans="1:19" ht="15.75" thickBot="1" x14ac:dyDescent="0.3">
      <c r="A229" s="34" t="s">
        <v>210</v>
      </c>
      <c r="B229" s="34" t="s">
        <v>210</v>
      </c>
      <c r="C229" s="35">
        <f>SUM(C227:C228)</f>
        <v>471952</v>
      </c>
      <c r="D229" s="35">
        <f>SUM(D227:D228)</f>
        <v>1248916</v>
      </c>
      <c r="E229" s="35">
        <f t="shared" ref="E229:I229" si="78">SUM(E227:E228)</f>
        <v>1489709</v>
      </c>
      <c r="F229" s="35">
        <f t="shared" si="78"/>
        <v>0</v>
      </c>
      <c r="G229" s="35">
        <f t="shared" si="78"/>
        <v>0</v>
      </c>
      <c r="H229" s="35">
        <f t="shared" si="78"/>
        <v>0</v>
      </c>
      <c r="I229" s="35">
        <f t="shared" si="78"/>
        <v>0</v>
      </c>
      <c r="J229" s="34" t="s">
        <v>252</v>
      </c>
      <c r="K229" s="35">
        <f>SUM(K227:K228)</f>
        <v>1248916</v>
      </c>
      <c r="L229" s="35">
        <f t="shared" ref="L229:P229" si="79">SUM(L227:L228)</f>
        <v>96786</v>
      </c>
      <c r="M229" s="35">
        <f t="shared" si="79"/>
        <v>471952</v>
      </c>
      <c r="N229" s="35">
        <f t="shared" si="79"/>
        <v>19335</v>
      </c>
      <c r="O229" s="35">
        <f t="shared" si="79"/>
        <v>471952</v>
      </c>
      <c r="P229" s="35">
        <f t="shared" si="79"/>
        <v>19335</v>
      </c>
      <c r="Q229" s="41">
        <f>E229/C229</f>
        <v>3.1564841339797267</v>
      </c>
      <c r="R229" s="42">
        <f>M229/N229</f>
        <v>24.409206102922163</v>
      </c>
      <c r="S229" s="42">
        <f>K229/L229</f>
        <v>12.903891058624181</v>
      </c>
    </row>
    <row r="231" spans="1:19" x14ac:dyDescent="0.25">
      <c r="A231" s="29" t="s">
        <v>305</v>
      </c>
    </row>
    <row r="232" spans="1:19" x14ac:dyDescent="0.25">
      <c r="A232" s="32" t="s">
        <v>232</v>
      </c>
      <c r="B232" s="32" t="s">
        <v>60</v>
      </c>
    </row>
    <row r="233" spans="1:19" x14ac:dyDescent="0.25">
      <c r="A233" s="39" t="s">
        <v>344</v>
      </c>
      <c r="B233" s="49">
        <v>162851.27702364765</v>
      </c>
    </row>
    <row r="234" spans="1:19" x14ac:dyDescent="0.25">
      <c r="A234" s="39" t="s">
        <v>343</v>
      </c>
      <c r="B234" s="49">
        <v>50246.120491410751</v>
      </c>
    </row>
    <row r="235" spans="1:19" x14ac:dyDescent="0.25">
      <c r="A235" s="39"/>
      <c r="B235" s="48"/>
    </row>
    <row r="236" spans="1:19" x14ac:dyDescent="0.25">
      <c r="A236" s="39"/>
      <c r="B236" s="2"/>
    </row>
    <row r="237" spans="1:19" ht="15.75" thickBot="1" x14ac:dyDescent="0.3">
      <c r="A237" s="34" t="s">
        <v>210</v>
      </c>
      <c r="B237" s="35">
        <f>SUM(B233:B236)</f>
        <v>213097.3975150584</v>
      </c>
    </row>
    <row r="239" spans="1:19" x14ac:dyDescent="0.25">
      <c r="A239" s="32" t="s">
        <v>223</v>
      </c>
      <c r="B239" s="32" t="s">
        <v>231</v>
      </c>
    </row>
    <row r="240" spans="1:19" x14ac:dyDescent="0.25">
      <c r="A240" s="39" t="s">
        <v>343</v>
      </c>
      <c r="B240" s="49">
        <v>50246.120491410751</v>
      </c>
    </row>
    <row r="241" spans="1:19" x14ac:dyDescent="0.25">
      <c r="B241" s="2"/>
    </row>
    <row r="242" spans="1:19" ht="15.75" thickBot="1" x14ac:dyDescent="0.3">
      <c r="A242" s="34" t="s">
        <v>210</v>
      </c>
      <c r="B242" s="35">
        <f>SUM(B240:B241)</f>
        <v>50246.120491410751</v>
      </c>
    </row>
    <row r="243" spans="1:19" x14ac:dyDescent="0.25">
      <c r="A243" s="39" t="s">
        <v>302</v>
      </c>
      <c r="B243" s="2" t="str">
        <f>IF(B242&lt;50000,50000,"")</f>
        <v/>
      </c>
    </row>
    <row r="244" spans="1:19" x14ac:dyDescent="0.25">
      <c r="A244" t="s">
        <v>230</v>
      </c>
      <c r="B244" s="36">
        <f>IFERROR(IF(B243=50000,B243/B237,B242/B237),"")</f>
        <v>0.23578946095697925</v>
      </c>
    </row>
    <row r="246" spans="1:19" x14ac:dyDescent="0.25">
      <c r="A246" s="29" t="s">
        <v>255</v>
      </c>
    </row>
    <row r="247" spans="1:19" ht="45" x14ac:dyDescent="0.25">
      <c r="A247" t="s">
        <v>314</v>
      </c>
      <c r="B247" s="43" t="s">
        <v>248</v>
      </c>
      <c r="C247" s="43" t="s">
        <v>233</v>
      </c>
      <c r="D247" s="43" t="s">
        <v>234</v>
      </c>
      <c r="E247" s="43" t="s">
        <v>235</v>
      </c>
      <c r="F247" s="43" t="s">
        <v>236</v>
      </c>
      <c r="G247" s="43" t="s">
        <v>237</v>
      </c>
      <c r="H247" s="43" t="s">
        <v>238</v>
      </c>
      <c r="I247" s="43" t="s">
        <v>239</v>
      </c>
      <c r="J247" s="43" t="s">
        <v>240</v>
      </c>
      <c r="K247" s="43" t="s">
        <v>241</v>
      </c>
      <c r="L247" s="43" t="s">
        <v>242</v>
      </c>
      <c r="M247" s="43" t="s">
        <v>243</v>
      </c>
      <c r="N247" s="43" t="s">
        <v>244</v>
      </c>
      <c r="O247" s="44" t="s">
        <v>245</v>
      </c>
      <c r="P247" s="44" t="s">
        <v>246</v>
      </c>
      <c r="Q247" s="40" t="s">
        <v>283</v>
      </c>
      <c r="R247" s="40" t="s">
        <v>282</v>
      </c>
      <c r="S247" s="40" t="s">
        <v>286</v>
      </c>
    </row>
    <row r="248" spans="1:19" ht="15.75" thickBot="1" x14ac:dyDescent="0.3">
      <c r="A248" s="55" t="s">
        <v>45</v>
      </c>
      <c r="B248" s="34" t="s">
        <v>210</v>
      </c>
      <c r="C248" s="35">
        <f t="shared" ref="C248:P248" si="80">IF(ISNUMBER(C229),$B244*C229,C229)</f>
        <v>111281.30767756827</v>
      </c>
      <c r="D248" s="35">
        <f t="shared" si="80"/>
        <v>294481.23042054672</v>
      </c>
      <c r="E248" s="35">
        <f t="shared" si="80"/>
        <v>351257.68209276063</v>
      </c>
      <c r="F248" s="35">
        <f t="shared" si="80"/>
        <v>0</v>
      </c>
      <c r="G248" s="35">
        <f t="shared" si="80"/>
        <v>0</v>
      </c>
      <c r="H248" s="35">
        <f t="shared" si="80"/>
        <v>0</v>
      </c>
      <c r="I248" s="35">
        <f t="shared" si="80"/>
        <v>0</v>
      </c>
      <c r="J248" s="35" t="str">
        <f t="shared" si="80"/>
        <v>No</v>
      </c>
      <c r="K248" s="35">
        <f t="shared" si="80"/>
        <v>294481.23042054672</v>
      </c>
      <c r="L248" s="35">
        <f t="shared" si="80"/>
        <v>22821.118768182194</v>
      </c>
      <c r="M248" s="35">
        <f t="shared" si="80"/>
        <v>111281.30767756827</v>
      </c>
      <c r="N248" s="35">
        <f t="shared" si="80"/>
        <v>4558.9892276031942</v>
      </c>
      <c r="O248" s="35">
        <f t="shared" si="80"/>
        <v>111281.30767756827</v>
      </c>
      <c r="P248" s="35">
        <f t="shared" si="80"/>
        <v>4558.9892276031942</v>
      </c>
      <c r="Q248" s="45">
        <f>E248/C248</f>
        <v>3.1564841339797272</v>
      </c>
      <c r="R248" s="46">
        <f>M248/N248</f>
        <v>24.409206102922159</v>
      </c>
      <c r="S248" s="37">
        <f>K248/L248</f>
        <v>12.903891058624183</v>
      </c>
    </row>
    <row r="249" spans="1:19" x14ac:dyDescent="0.25">
      <c r="A249" s="43"/>
      <c r="B249" s="43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53"/>
      <c r="R249" s="54"/>
      <c r="S249" s="37"/>
    </row>
    <row r="250" spans="1:19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</row>
    <row r="252" spans="1:19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</row>
    <row r="254" spans="1:19" x14ac:dyDescent="0.25">
      <c r="A254" s="26" t="s">
        <v>345</v>
      </c>
    </row>
    <row r="255" spans="1:19" x14ac:dyDescent="0.25">
      <c r="A255" s="29" t="s">
        <v>256</v>
      </c>
      <c r="B255" t="s">
        <v>54</v>
      </c>
      <c r="C255" t="s">
        <v>346</v>
      </c>
    </row>
    <row r="256" spans="1:19" ht="45" x14ac:dyDescent="0.25">
      <c r="A256" s="32" t="s">
        <v>247</v>
      </c>
      <c r="B256" s="32" t="s">
        <v>248</v>
      </c>
      <c r="C256" s="32" t="s">
        <v>233</v>
      </c>
      <c r="D256" s="32" t="s">
        <v>234</v>
      </c>
      <c r="E256" s="32" t="s">
        <v>235</v>
      </c>
      <c r="F256" s="32" t="s">
        <v>236</v>
      </c>
      <c r="G256" s="32" t="s">
        <v>237</v>
      </c>
      <c r="H256" s="32" t="s">
        <v>238</v>
      </c>
      <c r="I256" s="32" t="s">
        <v>239</v>
      </c>
      <c r="J256" s="32" t="s">
        <v>240</v>
      </c>
      <c r="K256" s="32" t="s">
        <v>241</v>
      </c>
      <c r="L256" s="32" t="s">
        <v>242</v>
      </c>
      <c r="M256" s="32" t="s">
        <v>243</v>
      </c>
      <c r="N256" s="32" t="s">
        <v>244</v>
      </c>
      <c r="O256" s="33" t="s">
        <v>245</v>
      </c>
      <c r="P256" s="33" t="s">
        <v>246</v>
      </c>
      <c r="Q256" s="40" t="s">
        <v>283</v>
      </c>
      <c r="R256" s="40" t="s">
        <v>282</v>
      </c>
      <c r="S256" s="40" t="s">
        <v>286</v>
      </c>
    </row>
    <row r="257" spans="1:19" x14ac:dyDescent="0.25">
      <c r="A257" t="s">
        <v>250</v>
      </c>
      <c r="B257" t="s">
        <v>251</v>
      </c>
      <c r="C257" s="2">
        <v>623536</v>
      </c>
      <c r="D257" s="2">
        <f>IF(C257=M257,K257,0)</f>
        <v>1025112.2584405912</v>
      </c>
      <c r="E257" s="30">
        <v>2264892</v>
      </c>
      <c r="F257" s="31">
        <v>0</v>
      </c>
      <c r="G257" s="2">
        <v>0</v>
      </c>
      <c r="H257" s="2">
        <v>0</v>
      </c>
      <c r="I257" s="30">
        <v>0</v>
      </c>
      <c r="J257" t="s">
        <v>252</v>
      </c>
      <c r="K257" s="2">
        <f>L257*VLOOKUP(A257,'APTL Reference'!$B$3:$E$21,4,FALSE)</f>
        <v>1025112.2584405912</v>
      </c>
      <c r="L257" s="2">
        <v>109648</v>
      </c>
      <c r="M257" s="2">
        <v>623536</v>
      </c>
      <c r="N257" s="2">
        <v>36794</v>
      </c>
      <c r="O257" s="2">
        <f>M257</f>
        <v>623536</v>
      </c>
      <c r="P257" s="2">
        <f>N257</f>
        <v>36794</v>
      </c>
      <c r="Q257" s="41">
        <f>E257/C257</f>
        <v>3.6323355828693131</v>
      </c>
      <c r="R257" s="42">
        <f>M257/N257</f>
        <v>16.946676088492691</v>
      </c>
      <c r="S257" s="42">
        <f>K257/L257</f>
        <v>9.3491195319621987</v>
      </c>
    </row>
    <row r="258" spans="1:19" x14ac:dyDescent="0.25">
      <c r="A258" t="s">
        <v>264</v>
      </c>
      <c r="B258" t="s">
        <v>251</v>
      </c>
      <c r="C258" s="2">
        <v>1538673</v>
      </c>
      <c r="D258" s="2">
        <f>IF(C258=M258,K258,0)</f>
        <v>1578181.1605287807</v>
      </c>
      <c r="E258" s="30">
        <v>5588975</v>
      </c>
      <c r="F258" s="31">
        <v>0</v>
      </c>
      <c r="G258" s="2">
        <v>0</v>
      </c>
      <c r="H258" s="2">
        <v>0</v>
      </c>
      <c r="I258" s="30">
        <v>0</v>
      </c>
      <c r="J258" t="s">
        <v>252</v>
      </c>
      <c r="K258" s="2">
        <f>L258*VLOOKUP(A258,'APTL Reference'!$B$3:$E$21,4,FALSE)</f>
        <v>1578181.1605287807</v>
      </c>
      <c r="L258" s="2">
        <v>423019</v>
      </c>
      <c r="M258" s="2">
        <v>1538673</v>
      </c>
      <c r="N258" s="2">
        <v>109674</v>
      </c>
      <c r="O258" s="2">
        <f>M258</f>
        <v>1538673</v>
      </c>
      <c r="P258" s="2">
        <f>N258</f>
        <v>109674</v>
      </c>
      <c r="Q258" s="41">
        <f>E258/C258</f>
        <v>3.6323344856249506</v>
      </c>
      <c r="R258" s="42">
        <f>M258/N258</f>
        <v>14.02951474369495</v>
      </c>
      <c r="S258" s="42">
        <f>K258/L258</f>
        <v>3.7307571540020206</v>
      </c>
    </row>
    <row r="259" spans="1:19" ht="15.75" thickBot="1" x14ac:dyDescent="0.3">
      <c r="A259" s="34" t="s">
        <v>210</v>
      </c>
      <c r="B259" s="34" t="s">
        <v>210</v>
      </c>
      <c r="C259" s="35">
        <f>SUM(C257:C258)</f>
        <v>2162209</v>
      </c>
      <c r="D259" s="35">
        <f>SUM(D257:D258)</f>
        <v>2603293.4189693718</v>
      </c>
      <c r="E259" s="35">
        <f t="shared" ref="E259:I259" si="81">SUM(E257:E258)</f>
        <v>7853867</v>
      </c>
      <c r="F259" s="35">
        <f t="shared" si="81"/>
        <v>0</v>
      </c>
      <c r="G259" s="35">
        <f t="shared" si="81"/>
        <v>0</v>
      </c>
      <c r="H259" s="35">
        <f t="shared" si="81"/>
        <v>0</v>
      </c>
      <c r="I259" s="35">
        <f t="shared" si="81"/>
        <v>0</v>
      </c>
      <c r="J259" s="34" t="s">
        <v>252</v>
      </c>
      <c r="K259" s="35">
        <f>SUM(K257:K258)</f>
        <v>2603293.4189693718</v>
      </c>
      <c r="L259" s="35">
        <f t="shared" ref="L259:P259" si="82">SUM(L257:L258)</f>
        <v>532667</v>
      </c>
      <c r="M259" s="35">
        <f t="shared" si="82"/>
        <v>2162209</v>
      </c>
      <c r="N259" s="35">
        <f t="shared" si="82"/>
        <v>146468</v>
      </c>
      <c r="O259" s="35">
        <f t="shared" si="82"/>
        <v>2162209</v>
      </c>
      <c r="P259" s="35">
        <f t="shared" si="82"/>
        <v>146468</v>
      </c>
      <c r="Q259" s="41">
        <f>E259/C259</f>
        <v>3.6323348020473505</v>
      </c>
      <c r="R259" s="42">
        <f>M259/N259</f>
        <v>14.762330338367425</v>
      </c>
      <c r="S259" s="42">
        <f>K259/L259</f>
        <v>4.8872812075262253</v>
      </c>
    </row>
    <row r="261" spans="1:19" x14ac:dyDescent="0.25">
      <c r="A261" s="29" t="s">
        <v>257</v>
      </c>
    </row>
    <row r="262" spans="1:19" x14ac:dyDescent="0.25">
      <c r="A262" s="32" t="s">
        <v>232</v>
      </c>
      <c r="B262" s="32" t="s">
        <v>60</v>
      </c>
    </row>
    <row r="263" spans="1:19" x14ac:dyDescent="0.25">
      <c r="A263" s="39" t="s">
        <v>348</v>
      </c>
      <c r="B263" s="49">
        <v>21652</v>
      </c>
    </row>
    <row r="264" spans="1:19" x14ac:dyDescent="0.25">
      <c r="A264" s="39" t="s">
        <v>349</v>
      </c>
      <c r="B264" s="49">
        <v>93088</v>
      </c>
    </row>
    <row r="265" spans="1:19" x14ac:dyDescent="0.25">
      <c r="A265" s="39"/>
      <c r="B265" s="48"/>
    </row>
    <row r="266" spans="1:19" x14ac:dyDescent="0.25">
      <c r="A266" s="39"/>
      <c r="B266" s="2"/>
    </row>
    <row r="267" spans="1:19" ht="15.75" thickBot="1" x14ac:dyDescent="0.3">
      <c r="A267" s="34" t="s">
        <v>210</v>
      </c>
      <c r="B267" s="35">
        <f>SUM(B263:B266)</f>
        <v>114740</v>
      </c>
    </row>
    <row r="269" spans="1:19" x14ac:dyDescent="0.25">
      <c r="A269" s="32" t="s">
        <v>223</v>
      </c>
      <c r="B269" s="32" t="s">
        <v>231</v>
      </c>
    </row>
    <row r="270" spans="1:19" x14ac:dyDescent="0.25">
      <c r="A270" s="39" t="s">
        <v>350</v>
      </c>
      <c r="B270" s="49">
        <v>15570</v>
      </c>
    </row>
    <row r="271" spans="1:19" x14ac:dyDescent="0.25">
      <c r="B271" s="2"/>
    </row>
    <row r="272" spans="1:19" ht="15.75" thickBot="1" x14ac:dyDescent="0.3">
      <c r="A272" s="34" t="s">
        <v>210</v>
      </c>
      <c r="B272" s="35">
        <f>SUM(B270:B271)</f>
        <v>15570</v>
      </c>
      <c r="F272" t="s">
        <v>347</v>
      </c>
    </row>
    <row r="273" spans="1:19" x14ac:dyDescent="0.25">
      <c r="A273" s="39" t="s">
        <v>302</v>
      </c>
      <c r="B273" s="2">
        <f>IF(B272&lt;50000,50000,"")</f>
        <v>50000</v>
      </c>
    </row>
    <row r="274" spans="1:19" x14ac:dyDescent="0.25">
      <c r="A274" t="s">
        <v>230</v>
      </c>
      <c r="B274" s="36">
        <f>IFERROR(IF(B273=50000,B273/B267,B272/B267),"")</f>
        <v>0.43576782290395677</v>
      </c>
    </row>
    <row r="276" spans="1:19" x14ac:dyDescent="0.25">
      <c r="A276" s="29" t="s">
        <v>255</v>
      </c>
    </row>
    <row r="277" spans="1:19" ht="45" x14ac:dyDescent="0.25">
      <c r="A277" t="s">
        <v>314</v>
      </c>
      <c r="B277" s="43" t="s">
        <v>248</v>
      </c>
      <c r="C277" s="43" t="s">
        <v>233</v>
      </c>
      <c r="D277" s="43" t="s">
        <v>234</v>
      </c>
      <c r="E277" s="43" t="s">
        <v>235</v>
      </c>
      <c r="F277" s="43" t="s">
        <v>236</v>
      </c>
      <c r="G277" s="43" t="s">
        <v>237</v>
      </c>
      <c r="H277" s="43" t="s">
        <v>238</v>
      </c>
      <c r="I277" s="43" t="s">
        <v>239</v>
      </c>
      <c r="J277" s="43" t="s">
        <v>240</v>
      </c>
      <c r="K277" s="43" t="s">
        <v>241</v>
      </c>
      <c r="L277" s="43" t="s">
        <v>242</v>
      </c>
      <c r="M277" s="43" t="s">
        <v>243</v>
      </c>
      <c r="N277" s="43" t="s">
        <v>244</v>
      </c>
      <c r="O277" s="44" t="s">
        <v>245</v>
      </c>
      <c r="P277" s="44" t="s">
        <v>246</v>
      </c>
      <c r="Q277" s="40" t="s">
        <v>283</v>
      </c>
      <c r="R277" s="40" t="s">
        <v>282</v>
      </c>
      <c r="S277" s="40" t="s">
        <v>286</v>
      </c>
    </row>
    <row r="278" spans="1:19" ht="15.75" thickBot="1" x14ac:dyDescent="0.3">
      <c r="A278" s="56">
        <v>88300</v>
      </c>
      <c r="B278" s="34" t="s">
        <v>210</v>
      </c>
      <c r="C278" s="35">
        <f>IF(ISNUMBER(C259),$B274*C259,C259)</f>
        <v>942221.10859334143</v>
      </c>
      <c r="D278" s="35">
        <f t="shared" ref="D278:P278" si="83">IF(ISNUMBER(D259),$B274*D259,D259)</f>
        <v>1134431.5055644813</v>
      </c>
      <c r="E278" s="35">
        <f t="shared" si="83"/>
        <v>3422462.5239672302</v>
      </c>
      <c r="F278" s="35">
        <f t="shared" si="83"/>
        <v>0</v>
      </c>
      <c r="G278" s="35">
        <f t="shared" si="83"/>
        <v>0</v>
      </c>
      <c r="H278" s="35">
        <f t="shared" si="83"/>
        <v>0</v>
      </c>
      <c r="I278" s="35">
        <f t="shared" si="83"/>
        <v>0</v>
      </c>
      <c r="J278" s="35" t="str">
        <f t="shared" si="83"/>
        <v>No</v>
      </c>
      <c r="K278" s="35">
        <f t="shared" si="83"/>
        <v>1134431.5055644813</v>
      </c>
      <c r="L278" s="35">
        <f t="shared" si="83"/>
        <v>232119.13892278195</v>
      </c>
      <c r="M278" s="35">
        <f t="shared" si="83"/>
        <v>942221.10859334143</v>
      </c>
      <c r="N278" s="35">
        <f t="shared" si="83"/>
        <v>63826.041485096743</v>
      </c>
      <c r="O278" s="35">
        <f t="shared" si="83"/>
        <v>942221.10859334143</v>
      </c>
      <c r="P278" s="35">
        <f t="shared" si="83"/>
        <v>63826.041485096743</v>
      </c>
      <c r="Q278" s="45">
        <f>E278/C278</f>
        <v>3.6323348020473509</v>
      </c>
      <c r="R278" s="46">
        <f>M278/N278</f>
        <v>14.762330338367423</v>
      </c>
      <c r="S278" s="37">
        <f>K278/L278</f>
        <v>4.8872812075262244</v>
      </c>
    </row>
    <row r="279" spans="1:19" x14ac:dyDescent="0.25">
      <c r="A279" s="43"/>
      <c r="B279" s="43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53"/>
      <c r="R279" s="54"/>
      <c r="S279" s="37"/>
    </row>
    <row r="280" spans="1:19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</row>
    <row r="282" spans="1:19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</row>
    <row r="284" spans="1:19" x14ac:dyDescent="0.25">
      <c r="A284" s="26" t="s">
        <v>351</v>
      </c>
    </row>
    <row r="285" spans="1:19" x14ac:dyDescent="0.25">
      <c r="A285" s="29" t="s">
        <v>256</v>
      </c>
      <c r="B285" s="50" t="s">
        <v>4</v>
      </c>
      <c r="C285" t="s">
        <v>352</v>
      </c>
    </row>
    <row r="286" spans="1:19" ht="45" x14ac:dyDescent="0.25">
      <c r="A286" s="32" t="s">
        <v>247</v>
      </c>
      <c r="B286" s="32" t="s">
        <v>248</v>
      </c>
      <c r="C286" s="32" t="s">
        <v>233</v>
      </c>
      <c r="D286" s="32" t="s">
        <v>234</v>
      </c>
      <c r="E286" s="32" t="s">
        <v>235</v>
      </c>
      <c r="F286" s="32" t="s">
        <v>236</v>
      </c>
      <c r="G286" s="32" t="s">
        <v>237</v>
      </c>
      <c r="H286" s="32" t="s">
        <v>238</v>
      </c>
      <c r="I286" s="32" t="s">
        <v>239</v>
      </c>
      <c r="J286" s="32" t="s">
        <v>240</v>
      </c>
      <c r="K286" s="32" t="s">
        <v>241</v>
      </c>
      <c r="L286" s="32" t="s">
        <v>242</v>
      </c>
      <c r="M286" s="32" t="s">
        <v>243</v>
      </c>
      <c r="N286" s="32" t="s">
        <v>244</v>
      </c>
      <c r="O286" s="33" t="s">
        <v>245</v>
      </c>
      <c r="P286" s="33" t="s">
        <v>246</v>
      </c>
      <c r="Q286" s="40" t="s">
        <v>283</v>
      </c>
      <c r="R286" s="40" t="s">
        <v>282</v>
      </c>
      <c r="S286" s="40" t="s">
        <v>286</v>
      </c>
    </row>
    <row r="287" spans="1:19" x14ac:dyDescent="0.25">
      <c r="A287" t="s">
        <v>250</v>
      </c>
      <c r="B287" t="s">
        <v>251</v>
      </c>
      <c r="C287" s="2">
        <v>338100</v>
      </c>
      <c r="D287" s="2">
        <f>IF(C287=M287,K287,0)</f>
        <v>782801.77841119491</v>
      </c>
      <c r="E287" s="30">
        <v>911057</v>
      </c>
      <c r="F287" s="31">
        <v>0</v>
      </c>
      <c r="G287" s="2">
        <v>0</v>
      </c>
      <c r="H287" s="2">
        <v>0</v>
      </c>
      <c r="I287" s="30">
        <v>0</v>
      </c>
      <c r="J287" t="s">
        <v>252</v>
      </c>
      <c r="K287" s="2">
        <f>L287*VLOOKUP(A287,'APTL Reference'!$B$3:$E$21,4,FALSE)</f>
        <v>782801.77841119491</v>
      </c>
      <c r="L287" s="2">
        <v>83730</v>
      </c>
      <c r="M287" s="2">
        <v>338100</v>
      </c>
      <c r="N287" s="2">
        <v>38129</v>
      </c>
      <c r="O287" s="2">
        <f>M287</f>
        <v>338100</v>
      </c>
      <c r="P287" s="2">
        <f>N287</f>
        <v>38129</v>
      </c>
      <c r="Q287" s="41">
        <f>E287/C287</f>
        <v>2.6946376811594202</v>
      </c>
      <c r="R287" s="42">
        <f>M287/N287</f>
        <v>8.8672663851661468</v>
      </c>
      <c r="S287" s="42">
        <f>K287/L287</f>
        <v>9.3491195319621987</v>
      </c>
    </row>
    <row r="288" spans="1:19" x14ac:dyDescent="0.25">
      <c r="A288" t="s">
        <v>264</v>
      </c>
      <c r="B288" t="s">
        <v>251</v>
      </c>
      <c r="C288" s="2">
        <v>318400</v>
      </c>
      <c r="D288" s="2">
        <f>IF(C288=M288,K288,0)</f>
        <v>832503.53588693473</v>
      </c>
      <c r="E288" s="30">
        <v>967426</v>
      </c>
      <c r="F288" s="31">
        <v>0</v>
      </c>
      <c r="G288" s="2">
        <v>0</v>
      </c>
      <c r="H288" s="2">
        <v>0</v>
      </c>
      <c r="I288" s="30">
        <v>0</v>
      </c>
      <c r="J288" t="s">
        <v>353</v>
      </c>
      <c r="K288" s="2">
        <f>L288*VLOOKUP(A288,'APTL Reference'!$B$3:$E$21,4,FALSE)</f>
        <v>832503.53588693473</v>
      </c>
      <c r="L288" s="2">
        <v>223146</v>
      </c>
      <c r="M288" s="2">
        <v>318400</v>
      </c>
      <c r="N288" s="2">
        <v>18516</v>
      </c>
      <c r="O288" s="2">
        <f>M288</f>
        <v>318400</v>
      </c>
      <c r="P288" s="2">
        <f>N288</f>
        <v>18516</v>
      </c>
      <c r="Q288" s="41">
        <f>E288/C288</f>
        <v>3.0383982412060302</v>
      </c>
      <c r="R288" s="42">
        <f>M288/N288</f>
        <v>17.195938647656082</v>
      </c>
      <c r="S288" s="42">
        <f>K288/L288</f>
        <v>3.7307571540020197</v>
      </c>
    </row>
    <row r="289" spans="1:19" ht="15.75" thickBot="1" x14ac:dyDescent="0.3">
      <c r="A289" s="34" t="s">
        <v>210</v>
      </c>
      <c r="B289" s="34" t="s">
        <v>210</v>
      </c>
      <c r="C289" s="35">
        <f>SUM(C287:C288)</f>
        <v>656500</v>
      </c>
      <c r="D289" s="35">
        <f>SUM(D287:D288)</f>
        <v>1615305.3142981296</v>
      </c>
      <c r="E289" s="35">
        <f t="shared" ref="E289:I289" si="84">SUM(E287:E288)</f>
        <v>1878483</v>
      </c>
      <c r="F289" s="35">
        <f t="shared" si="84"/>
        <v>0</v>
      </c>
      <c r="G289" s="35">
        <f t="shared" si="84"/>
        <v>0</v>
      </c>
      <c r="H289" s="35">
        <f t="shared" si="84"/>
        <v>0</v>
      </c>
      <c r="I289" s="35">
        <f t="shared" si="84"/>
        <v>0</v>
      </c>
      <c r="J289" s="34" t="s">
        <v>252</v>
      </c>
      <c r="K289" s="35">
        <f>SUM(K287:K288)</f>
        <v>1615305.3142981296</v>
      </c>
      <c r="L289" s="35">
        <f t="shared" ref="L289:P289" si="85">SUM(L287:L288)</f>
        <v>306876</v>
      </c>
      <c r="M289" s="35">
        <f t="shared" si="85"/>
        <v>656500</v>
      </c>
      <c r="N289" s="35">
        <f t="shared" si="85"/>
        <v>56645</v>
      </c>
      <c r="O289" s="35">
        <f t="shared" si="85"/>
        <v>656500</v>
      </c>
      <c r="P289" s="35">
        <f t="shared" si="85"/>
        <v>56645</v>
      </c>
      <c r="Q289" s="41">
        <f>E289/C289</f>
        <v>2.8613602437166792</v>
      </c>
      <c r="R289" s="42">
        <f>M289/N289</f>
        <v>11.589725483273016</v>
      </c>
      <c r="S289" s="42">
        <f>K289/L289</f>
        <v>5.2637068858370473</v>
      </c>
    </row>
    <row r="291" spans="1:19" x14ac:dyDescent="0.25">
      <c r="A291" t="s">
        <v>230</v>
      </c>
      <c r="B291" s="36">
        <v>1</v>
      </c>
    </row>
    <row r="293" spans="1:19" x14ac:dyDescent="0.25">
      <c r="A293" s="29" t="s">
        <v>255</v>
      </c>
    </row>
    <row r="294" spans="1:19" ht="45" x14ac:dyDescent="0.25">
      <c r="A294" t="s">
        <v>314</v>
      </c>
      <c r="B294" s="43" t="s">
        <v>248</v>
      </c>
      <c r="C294" s="43" t="s">
        <v>233</v>
      </c>
      <c r="D294" s="43" t="s">
        <v>234</v>
      </c>
      <c r="E294" s="43" t="s">
        <v>235</v>
      </c>
      <c r="F294" s="43" t="s">
        <v>236</v>
      </c>
      <c r="G294" s="43" t="s">
        <v>237</v>
      </c>
      <c r="H294" s="43" t="s">
        <v>238</v>
      </c>
      <c r="I294" s="43" t="s">
        <v>239</v>
      </c>
      <c r="J294" s="43" t="s">
        <v>240</v>
      </c>
      <c r="K294" s="43" t="s">
        <v>241</v>
      </c>
      <c r="L294" s="43" t="s">
        <v>242</v>
      </c>
      <c r="M294" s="43" t="s">
        <v>243</v>
      </c>
      <c r="N294" s="43" t="s">
        <v>244</v>
      </c>
      <c r="O294" s="44" t="s">
        <v>245</v>
      </c>
      <c r="P294" s="44" t="s">
        <v>246</v>
      </c>
      <c r="Q294" s="40" t="s">
        <v>283</v>
      </c>
      <c r="R294" s="40" t="s">
        <v>282</v>
      </c>
      <c r="S294" s="40" t="s">
        <v>286</v>
      </c>
    </row>
    <row r="295" spans="1:19" ht="15.75" thickBot="1" x14ac:dyDescent="0.3">
      <c r="A295" s="55" t="s">
        <v>2</v>
      </c>
      <c r="B295" s="34" t="s">
        <v>210</v>
      </c>
      <c r="C295" s="35">
        <f t="shared" ref="C295:P295" si="86">IF(ISNUMBER(C289),$B291*C289,C289)</f>
        <v>656500</v>
      </c>
      <c r="D295" s="35">
        <f t="shared" si="86"/>
        <v>1615305.3142981296</v>
      </c>
      <c r="E295" s="35">
        <f t="shared" si="86"/>
        <v>1878483</v>
      </c>
      <c r="F295" s="35">
        <f t="shared" si="86"/>
        <v>0</v>
      </c>
      <c r="G295" s="35">
        <f t="shared" si="86"/>
        <v>0</v>
      </c>
      <c r="H295" s="35">
        <f t="shared" si="86"/>
        <v>0</v>
      </c>
      <c r="I295" s="35">
        <f t="shared" si="86"/>
        <v>0</v>
      </c>
      <c r="J295" s="35" t="str">
        <f t="shared" si="86"/>
        <v>No</v>
      </c>
      <c r="K295" s="35">
        <f t="shared" si="86"/>
        <v>1615305.3142981296</v>
      </c>
      <c r="L295" s="35">
        <f t="shared" si="86"/>
        <v>306876</v>
      </c>
      <c r="M295" s="35">
        <f t="shared" si="86"/>
        <v>656500</v>
      </c>
      <c r="N295" s="35">
        <f t="shared" si="86"/>
        <v>56645</v>
      </c>
      <c r="O295" s="35">
        <f t="shared" si="86"/>
        <v>656500</v>
      </c>
      <c r="P295" s="35">
        <f t="shared" si="86"/>
        <v>56645</v>
      </c>
      <c r="Q295" s="45">
        <f>E295/C295</f>
        <v>2.8613602437166792</v>
      </c>
      <c r="R295" s="46">
        <f>M295/N295</f>
        <v>11.589725483273016</v>
      </c>
      <c r="S295" s="37">
        <f>K295/L295</f>
        <v>5.2637068858370473</v>
      </c>
    </row>
    <row r="296" spans="1:19" x14ac:dyDescent="0.25">
      <c r="A296" s="43"/>
      <c r="B296" s="43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53"/>
      <c r="R296" s="54"/>
      <c r="S296" s="37"/>
    </row>
    <row r="297" spans="1:19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</row>
    <row r="299" spans="1:19" x14ac:dyDescent="0.25">
      <c r="A299" s="26" t="s">
        <v>355</v>
      </c>
    </row>
    <row r="300" spans="1:19" x14ac:dyDescent="0.25">
      <c r="A300" s="29" t="s">
        <v>256</v>
      </c>
      <c r="B300" s="50" t="s">
        <v>7</v>
      </c>
      <c r="C300" t="s">
        <v>356</v>
      </c>
    </row>
    <row r="301" spans="1:19" ht="45" x14ac:dyDescent="0.25">
      <c r="A301" s="32" t="s">
        <v>247</v>
      </c>
      <c r="B301" s="32" t="s">
        <v>248</v>
      </c>
      <c r="C301" s="32" t="s">
        <v>233</v>
      </c>
      <c r="D301" s="32" t="s">
        <v>234</v>
      </c>
      <c r="E301" s="32" t="s">
        <v>235</v>
      </c>
      <c r="F301" s="32" t="s">
        <v>236</v>
      </c>
      <c r="G301" s="32" t="s">
        <v>237</v>
      </c>
      <c r="H301" s="32" t="s">
        <v>238</v>
      </c>
      <c r="I301" s="32" t="s">
        <v>239</v>
      </c>
      <c r="J301" s="32" t="s">
        <v>240</v>
      </c>
      <c r="K301" s="32" t="s">
        <v>241</v>
      </c>
      <c r="L301" s="32" t="s">
        <v>242</v>
      </c>
      <c r="M301" s="32" t="s">
        <v>243</v>
      </c>
      <c r="N301" s="32" t="s">
        <v>244</v>
      </c>
      <c r="O301" s="33" t="s">
        <v>245</v>
      </c>
      <c r="P301" s="33" t="s">
        <v>246</v>
      </c>
      <c r="Q301" s="40" t="s">
        <v>283</v>
      </c>
      <c r="R301" s="40" t="s">
        <v>282</v>
      </c>
      <c r="S301" s="40" t="s">
        <v>286</v>
      </c>
    </row>
    <row r="302" spans="1:19" x14ac:dyDescent="0.25">
      <c r="A302" t="s">
        <v>250</v>
      </c>
      <c r="B302" t="s">
        <v>251</v>
      </c>
      <c r="C302" s="2">
        <v>83688</v>
      </c>
      <c r="D302" s="2">
        <f>IF(C302=M302,K302,0)</f>
        <v>107056.76776049913</v>
      </c>
      <c r="E302" s="30">
        <v>291135</v>
      </c>
      <c r="F302" s="31">
        <v>0</v>
      </c>
      <c r="G302" s="2">
        <v>0</v>
      </c>
      <c r="H302" s="2">
        <v>0</v>
      </c>
      <c r="I302" s="30">
        <v>0</v>
      </c>
      <c r="J302" t="s">
        <v>252</v>
      </c>
      <c r="K302" s="2">
        <f>L302*VLOOKUP(A302,'APTL Reference'!$B$3:$E$21,4,FALSE)</f>
        <v>107056.76776049913</v>
      </c>
      <c r="L302" s="2">
        <v>11451</v>
      </c>
      <c r="M302" s="2">
        <v>83688</v>
      </c>
      <c r="N302" s="2">
        <v>4901</v>
      </c>
      <c r="O302" s="2">
        <f>M302</f>
        <v>83688</v>
      </c>
      <c r="P302" s="2">
        <f>N302</f>
        <v>4901</v>
      </c>
      <c r="Q302" s="41">
        <f>E302/C302</f>
        <v>3.4788141669056496</v>
      </c>
      <c r="R302" s="42">
        <f>M302/N302</f>
        <v>17.075698836972048</v>
      </c>
      <c r="S302" s="42">
        <f>K302/L302</f>
        <v>9.3491195319621987</v>
      </c>
    </row>
    <row r="303" spans="1:19" x14ac:dyDescent="0.25">
      <c r="A303" t="s">
        <v>264</v>
      </c>
      <c r="B303" t="s">
        <v>251</v>
      </c>
      <c r="C303" s="2">
        <v>208295</v>
      </c>
      <c r="D303" s="2">
        <f>IF(C303=M303,K303,0)</f>
        <v>595365.41890710441</v>
      </c>
      <c r="E303" s="30">
        <v>915880</v>
      </c>
      <c r="F303" s="31">
        <v>0</v>
      </c>
      <c r="G303" s="2">
        <v>0</v>
      </c>
      <c r="H303" s="2">
        <v>0</v>
      </c>
      <c r="I303" s="30">
        <v>0</v>
      </c>
      <c r="J303" t="s">
        <v>252</v>
      </c>
      <c r="K303" s="2">
        <f>L303*VLOOKUP(A303,'APTL Reference'!$B$3:$E$21,4,FALSE)</f>
        <v>595365.41890710441</v>
      </c>
      <c r="L303" s="2">
        <v>159583</v>
      </c>
      <c r="M303" s="2">
        <v>208295</v>
      </c>
      <c r="N303" s="2">
        <v>13695</v>
      </c>
      <c r="O303" s="2">
        <f>M303</f>
        <v>208295</v>
      </c>
      <c r="P303" s="2">
        <f>N303</f>
        <v>13695</v>
      </c>
      <c r="Q303" s="41">
        <f>E303/C303</f>
        <v>4.3970330540819509</v>
      </c>
      <c r="R303" s="42">
        <f>M303/N303</f>
        <v>15.209565534866739</v>
      </c>
      <c r="S303" s="42">
        <f>K303/L303</f>
        <v>3.7307571540020201</v>
      </c>
    </row>
    <row r="304" spans="1:19" ht="15.75" thickBot="1" x14ac:dyDescent="0.3">
      <c r="A304" s="34" t="s">
        <v>210</v>
      </c>
      <c r="B304" s="34" t="s">
        <v>210</v>
      </c>
      <c r="C304" s="35">
        <f>SUM(C302:C303)</f>
        <v>291983</v>
      </c>
      <c r="D304" s="35">
        <f>SUM(D302:D303)</f>
        <v>702422.18666760356</v>
      </c>
      <c r="E304" s="35">
        <f t="shared" ref="E304:I304" si="87">SUM(E302:E303)</f>
        <v>1207015</v>
      </c>
      <c r="F304" s="35">
        <f t="shared" si="87"/>
        <v>0</v>
      </c>
      <c r="G304" s="35">
        <f t="shared" si="87"/>
        <v>0</v>
      </c>
      <c r="H304" s="35">
        <f t="shared" si="87"/>
        <v>0</v>
      </c>
      <c r="I304" s="35">
        <f t="shared" si="87"/>
        <v>0</v>
      </c>
      <c r="J304" s="34" t="s">
        <v>252</v>
      </c>
      <c r="K304" s="35">
        <f>SUM(K302:K303)</f>
        <v>702422.18666760356</v>
      </c>
      <c r="L304" s="35">
        <f t="shared" ref="L304:P304" si="88">SUM(L302:L303)</f>
        <v>171034</v>
      </c>
      <c r="M304" s="35">
        <f t="shared" si="88"/>
        <v>291983</v>
      </c>
      <c r="N304" s="35">
        <f t="shared" si="88"/>
        <v>18596</v>
      </c>
      <c r="O304" s="35">
        <f t="shared" si="88"/>
        <v>291983</v>
      </c>
      <c r="P304" s="35">
        <f t="shared" si="88"/>
        <v>18596</v>
      </c>
      <c r="Q304" s="41">
        <f>E304/C304</f>
        <v>4.133853683262382</v>
      </c>
      <c r="R304" s="42">
        <f>M304/N304</f>
        <v>15.70138739513874</v>
      </c>
      <c r="S304" s="42">
        <f>K304/L304</f>
        <v>4.1069155060841913</v>
      </c>
    </row>
    <row r="306" spans="1:19" x14ac:dyDescent="0.25">
      <c r="A306" t="s">
        <v>230</v>
      </c>
      <c r="B306" s="36">
        <v>1</v>
      </c>
    </row>
    <row r="308" spans="1:19" x14ac:dyDescent="0.25">
      <c r="A308" s="29" t="s">
        <v>255</v>
      </c>
    </row>
    <row r="309" spans="1:19" ht="45" x14ac:dyDescent="0.25">
      <c r="A309" t="s">
        <v>314</v>
      </c>
      <c r="B309" s="43" t="s">
        <v>248</v>
      </c>
      <c r="C309" s="43" t="s">
        <v>233</v>
      </c>
      <c r="D309" s="43" t="s">
        <v>234</v>
      </c>
      <c r="E309" s="43" t="s">
        <v>235</v>
      </c>
      <c r="F309" s="43" t="s">
        <v>236</v>
      </c>
      <c r="G309" s="43" t="s">
        <v>237</v>
      </c>
      <c r="H309" s="43" t="s">
        <v>238</v>
      </c>
      <c r="I309" s="43" t="s">
        <v>239</v>
      </c>
      <c r="J309" s="43" t="s">
        <v>240</v>
      </c>
      <c r="K309" s="43" t="s">
        <v>241</v>
      </c>
      <c r="L309" s="43" t="s">
        <v>242</v>
      </c>
      <c r="M309" s="43" t="s">
        <v>243</v>
      </c>
      <c r="N309" s="43" t="s">
        <v>244</v>
      </c>
      <c r="O309" s="44" t="s">
        <v>245</v>
      </c>
      <c r="P309" s="44" t="s">
        <v>246</v>
      </c>
      <c r="Q309" s="40" t="s">
        <v>283</v>
      </c>
      <c r="R309" s="40" t="s">
        <v>282</v>
      </c>
      <c r="S309" s="40" t="s">
        <v>286</v>
      </c>
    </row>
    <row r="310" spans="1:19" ht="15.75" thickBot="1" x14ac:dyDescent="0.3">
      <c r="A310" s="55" t="s">
        <v>5</v>
      </c>
      <c r="B310" s="34" t="s">
        <v>210</v>
      </c>
      <c r="C310" s="35">
        <f t="shared" ref="C310:P310" si="89">IF(ISNUMBER(C304),$B306*C304,C304)</f>
        <v>291983</v>
      </c>
      <c r="D310" s="35">
        <f t="shared" si="89"/>
        <v>702422.18666760356</v>
      </c>
      <c r="E310" s="35">
        <f t="shared" si="89"/>
        <v>1207015</v>
      </c>
      <c r="F310" s="35">
        <f t="shared" si="89"/>
        <v>0</v>
      </c>
      <c r="G310" s="35">
        <f t="shared" si="89"/>
        <v>0</v>
      </c>
      <c r="H310" s="35">
        <f t="shared" si="89"/>
        <v>0</v>
      </c>
      <c r="I310" s="35">
        <f t="shared" si="89"/>
        <v>0</v>
      </c>
      <c r="J310" s="35" t="str">
        <f t="shared" si="89"/>
        <v>No</v>
      </c>
      <c r="K310" s="35">
        <f t="shared" si="89"/>
        <v>702422.18666760356</v>
      </c>
      <c r="L310" s="35">
        <f t="shared" si="89"/>
        <v>171034</v>
      </c>
      <c r="M310" s="35">
        <f t="shared" si="89"/>
        <v>291983</v>
      </c>
      <c r="N310" s="35">
        <f t="shared" si="89"/>
        <v>18596</v>
      </c>
      <c r="O310" s="35">
        <f t="shared" si="89"/>
        <v>291983</v>
      </c>
      <c r="P310" s="35">
        <f t="shared" si="89"/>
        <v>18596</v>
      </c>
      <c r="Q310" s="45">
        <f>E310/C310</f>
        <v>4.133853683262382</v>
      </c>
      <c r="R310" s="46">
        <f>M310/N310</f>
        <v>15.70138739513874</v>
      </c>
      <c r="S310" s="37">
        <f>K310/L310</f>
        <v>4.1069155060841913</v>
      </c>
    </row>
    <row r="312" spans="1:19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</row>
    <row r="314" spans="1:19" x14ac:dyDescent="0.25">
      <c r="A314" s="26" t="s">
        <v>357</v>
      </c>
    </row>
    <row r="315" spans="1:19" x14ac:dyDescent="0.25">
      <c r="A315" s="29" t="s">
        <v>256</v>
      </c>
      <c r="B315" s="50" t="s">
        <v>16</v>
      </c>
      <c r="C315" t="s">
        <v>358</v>
      </c>
    </row>
    <row r="316" spans="1:19" ht="45" x14ac:dyDescent="0.25">
      <c r="A316" s="32" t="s">
        <v>247</v>
      </c>
      <c r="B316" s="32" t="s">
        <v>248</v>
      </c>
      <c r="C316" s="32" t="s">
        <v>233</v>
      </c>
      <c r="D316" s="32" t="s">
        <v>234</v>
      </c>
      <c r="E316" s="32" t="s">
        <v>235</v>
      </c>
      <c r="F316" s="32" t="s">
        <v>236</v>
      </c>
      <c r="G316" s="32" t="s">
        <v>237</v>
      </c>
      <c r="H316" s="32" t="s">
        <v>238</v>
      </c>
      <c r="I316" s="32" t="s">
        <v>239</v>
      </c>
      <c r="J316" s="32" t="s">
        <v>240</v>
      </c>
      <c r="K316" s="32" t="s">
        <v>241</v>
      </c>
      <c r="L316" s="32" t="s">
        <v>242</v>
      </c>
      <c r="M316" s="32" t="s">
        <v>243</v>
      </c>
      <c r="N316" s="32" t="s">
        <v>244</v>
      </c>
      <c r="O316" s="33" t="s">
        <v>245</v>
      </c>
      <c r="P316" s="33" t="s">
        <v>246</v>
      </c>
      <c r="Q316" s="40" t="s">
        <v>283</v>
      </c>
      <c r="R316" s="40" t="s">
        <v>282</v>
      </c>
      <c r="S316" s="40" t="s">
        <v>286</v>
      </c>
    </row>
    <row r="317" spans="1:19" x14ac:dyDescent="0.25">
      <c r="A317" t="s">
        <v>250</v>
      </c>
      <c r="B317" t="s">
        <v>251</v>
      </c>
      <c r="C317" s="2">
        <v>243349</v>
      </c>
      <c r="D317" s="2">
        <f>IF(C317=M317,K317,0)</f>
        <v>501776.59439994319</v>
      </c>
      <c r="E317" s="30">
        <v>646856</v>
      </c>
      <c r="F317" s="31">
        <v>0</v>
      </c>
      <c r="G317" s="2">
        <v>0</v>
      </c>
      <c r="H317" s="2">
        <v>0</v>
      </c>
      <c r="I317" s="30">
        <v>0</v>
      </c>
      <c r="J317" t="s">
        <v>252</v>
      </c>
      <c r="K317" s="2">
        <f>L317*VLOOKUP(A317,'APTL Reference'!$B$3:$E$21,4,FALSE)</f>
        <v>501776.59439994319</v>
      </c>
      <c r="L317" s="2">
        <v>53671</v>
      </c>
      <c r="M317" s="2">
        <v>243349</v>
      </c>
      <c r="N317" s="2">
        <v>17951</v>
      </c>
      <c r="O317" s="2">
        <f>M317</f>
        <v>243349</v>
      </c>
      <c r="P317" s="2">
        <f>N317</f>
        <v>17951</v>
      </c>
      <c r="Q317" s="41">
        <f>E317/C317</f>
        <v>2.6581411881700769</v>
      </c>
      <c r="R317" s="42">
        <f>M317/N317</f>
        <v>13.556292128572224</v>
      </c>
      <c r="S317" s="42">
        <f>K317/L317</f>
        <v>9.3491195319621987</v>
      </c>
    </row>
    <row r="318" spans="1:19" x14ac:dyDescent="0.25">
      <c r="C318" s="2"/>
      <c r="D318" s="2"/>
      <c r="E318" s="30"/>
      <c r="F318" s="31"/>
      <c r="G318" s="2"/>
      <c r="H318" s="2"/>
      <c r="I318" s="30"/>
      <c r="K318" s="2"/>
      <c r="L318" s="2"/>
      <c r="M318" s="2"/>
      <c r="N318" s="2"/>
      <c r="O318" s="2"/>
      <c r="P318" s="2"/>
      <c r="Q318" s="41"/>
      <c r="R318" s="42"/>
      <c r="S318" s="42"/>
    </row>
    <row r="319" spans="1:19" ht="15.75" thickBot="1" x14ac:dyDescent="0.3">
      <c r="A319" s="34" t="s">
        <v>210</v>
      </c>
      <c r="B319" s="34" t="s">
        <v>210</v>
      </c>
      <c r="C319" s="35">
        <f>SUM(C317:C318)</f>
        <v>243349</v>
      </c>
      <c r="D319" s="35">
        <f>SUM(D317:D318)</f>
        <v>501776.59439994319</v>
      </c>
      <c r="E319" s="35">
        <f t="shared" ref="E319:I319" si="90">SUM(E317:E318)</f>
        <v>646856</v>
      </c>
      <c r="F319" s="35">
        <f t="shared" si="90"/>
        <v>0</v>
      </c>
      <c r="G319" s="35">
        <f t="shared" si="90"/>
        <v>0</v>
      </c>
      <c r="H319" s="35">
        <f t="shared" si="90"/>
        <v>0</v>
      </c>
      <c r="I319" s="35">
        <f t="shared" si="90"/>
        <v>0</v>
      </c>
      <c r="J319" s="34" t="s">
        <v>252</v>
      </c>
      <c r="K319" s="35">
        <f>SUM(K317:K318)</f>
        <v>501776.59439994319</v>
      </c>
      <c r="L319" s="35">
        <f t="shared" ref="L319:P319" si="91">SUM(L317:L318)</f>
        <v>53671</v>
      </c>
      <c r="M319" s="35">
        <f t="shared" si="91"/>
        <v>243349</v>
      </c>
      <c r="N319" s="35">
        <f t="shared" si="91"/>
        <v>17951</v>
      </c>
      <c r="O319" s="35">
        <f t="shared" si="91"/>
        <v>243349</v>
      </c>
      <c r="P319" s="35">
        <f t="shared" si="91"/>
        <v>17951</v>
      </c>
      <c r="Q319" s="41">
        <f>E319/C319</f>
        <v>2.6581411881700769</v>
      </c>
      <c r="R319" s="42">
        <f>M319/N319</f>
        <v>13.556292128572224</v>
      </c>
      <c r="S319" s="42">
        <f>K319/L319</f>
        <v>9.3491195319621987</v>
      </c>
    </row>
    <row r="321" spans="1:19" x14ac:dyDescent="0.25">
      <c r="A321" t="s">
        <v>230</v>
      </c>
      <c r="B321" s="36">
        <v>1</v>
      </c>
    </row>
    <row r="323" spans="1:19" x14ac:dyDescent="0.25">
      <c r="A323" s="29" t="s">
        <v>255</v>
      </c>
    </row>
    <row r="324" spans="1:19" ht="45" x14ac:dyDescent="0.25">
      <c r="A324" t="s">
        <v>314</v>
      </c>
      <c r="B324" s="43" t="s">
        <v>248</v>
      </c>
      <c r="C324" s="43" t="s">
        <v>233</v>
      </c>
      <c r="D324" s="43" t="s">
        <v>234</v>
      </c>
      <c r="E324" s="43" t="s">
        <v>235</v>
      </c>
      <c r="F324" s="43" t="s">
        <v>236</v>
      </c>
      <c r="G324" s="43" t="s">
        <v>237</v>
      </c>
      <c r="H324" s="43" t="s">
        <v>238</v>
      </c>
      <c r="I324" s="43" t="s">
        <v>239</v>
      </c>
      <c r="J324" s="43" t="s">
        <v>240</v>
      </c>
      <c r="K324" s="43" t="s">
        <v>241</v>
      </c>
      <c r="L324" s="43" t="s">
        <v>242</v>
      </c>
      <c r="M324" s="43" t="s">
        <v>243</v>
      </c>
      <c r="N324" s="43" t="s">
        <v>244</v>
      </c>
      <c r="O324" s="44" t="s">
        <v>245</v>
      </c>
      <c r="P324" s="44" t="s">
        <v>246</v>
      </c>
      <c r="Q324" s="40" t="s">
        <v>283</v>
      </c>
      <c r="R324" s="40" t="s">
        <v>282</v>
      </c>
      <c r="S324" s="40" t="s">
        <v>286</v>
      </c>
    </row>
    <row r="325" spans="1:19" ht="15.75" thickBot="1" x14ac:dyDescent="0.3">
      <c r="A325" s="55" t="s">
        <v>14</v>
      </c>
      <c r="B325" s="34" t="s">
        <v>210</v>
      </c>
      <c r="C325" s="35">
        <f t="shared" ref="C325:P325" si="92">IF(ISNUMBER(C319),$B321*C319,C319)</f>
        <v>243349</v>
      </c>
      <c r="D325" s="35">
        <f t="shared" si="92"/>
        <v>501776.59439994319</v>
      </c>
      <c r="E325" s="35">
        <f t="shared" si="92"/>
        <v>646856</v>
      </c>
      <c r="F325" s="35">
        <f t="shared" si="92"/>
        <v>0</v>
      </c>
      <c r="G325" s="35">
        <f t="shared" si="92"/>
        <v>0</v>
      </c>
      <c r="H325" s="35">
        <f t="shared" si="92"/>
        <v>0</v>
      </c>
      <c r="I325" s="35">
        <f t="shared" si="92"/>
        <v>0</v>
      </c>
      <c r="J325" s="35" t="str">
        <f t="shared" si="92"/>
        <v>No</v>
      </c>
      <c r="K325" s="35">
        <f t="shared" si="92"/>
        <v>501776.59439994319</v>
      </c>
      <c r="L325" s="35">
        <f t="shared" si="92"/>
        <v>53671</v>
      </c>
      <c r="M325" s="35">
        <f t="shared" si="92"/>
        <v>243349</v>
      </c>
      <c r="N325" s="35">
        <f t="shared" si="92"/>
        <v>17951</v>
      </c>
      <c r="O325" s="35">
        <f t="shared" si="92"/>
        <v>243349</v>
      </c>
      <c r="P325" s="35">
        <f t="shared" si="92"/>
        <v>17951</v>
      </c>
      <c r="Q325" s="45">
        <f>E325/C325</f>
        <v>2.6581411881700769</v>
      </c>
      <c r="R325" s="46">
        <f>M325/N325</f>
        <v>13.556292128572224</v>
      </c>
      <c r="S325" s="37">
        <f>K325/L325</f>
        <v>9.3491195319621987</v>
      </c>
    </row>
    <row r="327" spans="1:19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</row>
    <row r="329" spans="1:19" x14ac:dyDescent="0.25">
      <c r="A329" s="26" t="s">
        <v>359</v>
      </c>
    </row>
    <row r="330" spans="1:19" x14ac:dyDescent="0.25">
      <c r="A330" s="29" t="s">
        <v>256</v>
      </c>
      <c r="B330" s="50" t="s">
        <v>30</v>
      </c>
      <c r="C330" t="s">
        <v>360</v>
      </c>
    </row>
    <row r="331" spans="1:19" ht="45" x14ac:dyDescent="0.25">
      <c r="A331" s="32" t="s">
        <v>247</v>
      </c>
      <c r="B331" s="32" t="s">
        <v>248</v>
      </c>
      <c r="C331" s="32" t="s">
        <v>233</v>
      </c>
      <c r="D331" s="32" t="s">
        <v>234</v>
      </c>
      <c r="E331" s="32" t="s">
        <v>235</v>
      </c>
      <c r="F331" s="32" t="s">
        <v>236</v>
      </c>
      <c r="G331" s="32" t="s">
        <v>237</v>
      </c>
      <c r="H331" s="32" t="s">
        <v>238</v>
      </c>
      <c r="I331" s="32" t="s">
        <v>239</v>
      </c>
      <c r="J331" s="32" t="s">
        <v>240</v>
      </c>
      <c r="K331" s="32" t="s">
        <v>241</v>
      </c>
      <c r="L331" s="32" t="s">
        <v>242</v>
      </c>
      <c r="M331" s="32" t="s">
        <v>243</v>
      </c>
      <c r="N331" s="32" t="s">
        <v>244</v>
      </c>
      <c r="O331" s="33" t="s">
        <v>245</v>
      </c>
      <c r="P331" s="33" t="s">
        <v>246</v>
      </c>
      <c r="Q331" s="40" t="s">
        <v>283</v>
      </c>
      <c r="R331" s="40" t="s">
        <v>282</v>
      </c>
      <c r="S331" s="40" t="s">
        <v>286</v>
      </c>
    </row>
    <row r="332" spans="1:19" x14ac:dyDescent="0.25">
      <c r="A332" t="s">
        <v>250</v>
      </c>
      <c r="B332" t="s">
        <v>311</v>
      </c>
      <c r="C332" s="2">
        <v>23383</v>
      </c>
      <c r="D332" s="2">
        <f>IF(C332=M332,K332,0)</f>
        <v>21643.211716492489</v>
      </c>
      <c r="E332" s="30">
        <v>162420</v>
      </c>
      <c r="F332" s="31">
        <v>0</v>
      </c>
      <c r="G332" s="2">
        <v>0</v>
      </c>
      <c r="H332" s="2">
        <v>0</v>
      </c>
      <c r="I332" s="30">
        <v>0</v>
      </c>
      <c r="J332" t="s">
        <v>252</v>
      </c>
      <c r="K332" s="2">
        <f>L332*VLOOKUP(A332,'APTL Reference'!$B$3:$E$21,4,FALSE)</f>
        <v>21643.211716492489</v>
      </c>
      <c r="L332" s="2">
        <v>2315</v>
      </c>
      <c r="M332" s="2">
        <v>23383</v>
      </c>
      <c r="N332" s="2">
        <v>2241</v>
      </c>
      <c r="O332" s="2">
        <f>M332</f>
        <v>23383</v>
      </c>
      <c r="P332" s="2">
        <f>N332</f>
        <v>2241</v>
      </c>
      <c r="Q332" s="41">
        <f>E332/C332</f>
        <v>6.9460719326006073</v>
      </c>
      <c r="R332" s="42">
        <f>M332/N332</f>
        <v>10.434181169120928</v>
      </c>
      <c r="S332" s="42">
        <f>K332/L332</f>
        <v>9.3491195319621987</v>
      </c>
    </row>
    <row r="333" spans="1:19" x14ac:dyDescent="0.25">
      <c r="A333" t="s">
        <v>264</v>
      </c>
      <c r="B333" t="s">
        <v>311</v>
      </c>
      <c r="C333" s="2">
        <v>23115</v>
      </c>
      <c r="D333" s="2">
        <f>IF(C333=M333,K333,0)</f>
        <v>8528.5108540486181</v>
      </c>
      <c r="E333" s="30">
        <v>160419</v>
      </c>
      <c r="F333" s="31">
        <v>0</v>
      </c>
      <c r="G333" s="2">
        <v>0</v>
      </c>
      <c r="H333" s="2">
        <v>0</v>
      </c>
      <c r="I333" s="30">
        <v>0</v>
      </c>
      <c r="J333" t="s">
        <v>252</v>
      </c>
      <c r="K333" s="2">
        <f>L333*VLOOKUP(A333,'APTL Reference'!$B$3:$E$21,4,FALSE)</f>
        <v>8528.5108540486181</v>
      </c>
      <c r="L333" s="2">
        <v>2286</v>
      </c>
      <c r="M333" s="2">
        <v>23115</v>
      </c>
      <c r="N333" s="2">
        <v>2214</v>
      </c>
      <c r="O333" s="2">
        <f>M333</f>
        <v>23115</v>
      </c>
      <c r="P333" s="2">
        <f>N333</f>
        <v>2214</v>
      </c>
      <c r="Q333" s="41">
        <f>E333/C333</f>
        <v>6.9400389357560028</v>
      </c>
      <c r="R333" s="42">
        <f>M333/N333</f>
        <v>10.440379403794038</v>
      </c>
      <c r="S333" s="42">
        <f>K333/L333</f>
        <v>3.7307571540020201</v>
      </c>
    </row>
    <row r="334" spans="1:19" ht="15.75" thickBot="1" x14ac:dyDescent="0.3">
      <c r="A334" s="34" t="s">
        <v>210</v>
      </c>
      <c r="B334" s="34" t="s">
        <v>210</v>
      </c>
      <c r="C334" s="35">
        <f>SUM(C332:C333)</f>
        <v>46498</v>
      </c>
      <c r="D334" s="35">
        <f>SUM(D332:D333)</f>
        <v>30171.722570541107</v>
      </c>
      <c r="E334" s="35">
        <f t="shared" ref="E334:I334" si="93">SUM(E332:E333)</f>
        <v>322839</v>
      </c>
      <c r="F334" s="35">
        <f t="shared" si="93"/>
        <v>0</v>
      </c>
      <c r="G334" s="35">
        <f t="shared" si="93"/>
        <v>0</v>
      </c>
      <c r="H334" s="35">
        <f t="shared" si="93"/>
        <v>0</v>
      </c>
      <c r="I334" s="35">
        <f t="shared" si="93"/>
        <v>0</v>
      </c>
      <c r="J334" s="34" t="s">
        <v>252</v>
      </c>
      <c r="K334" s="35">
        <f>SUM(K332:K333)</f>
        <v>30171.722570541107</v>
      </c>
      <c r="L334" s="35">
        <f t="shared" ref="L334:P334" si="94">SUM(L332:L333)</f>
        <v>4601</v>
      </c>
      <c r="M334" s="35">
        <f t="shared" si="94"/>
        <v>46498</v>
      </c>
      <c r="N334" s="35">
        <f t="shared" si="94"/>
        <v>4455</v>
      </c>
      <c r="O334" s="35">
        <f t="shared" si="94"/>
        <v>46498</v>
      </c>
      <c r="P334" s="35">
        <f t="shared" si="94"/>
        <v>4455</v>
      </c>
      <c r="Q334" s="41">
        <f>E334/C334</f>
        <v>6.9430728203363588</v>
      </c>
      <c r="R334" s="42">
        <f>M334/N334</f>
        <v>10.43726150392817</v>
      </c>
      <c r="S334" s="42">
        <f>K334/L334</f>
        <v>6.5576445491286908</v>
      </c>
    </row>
    <row r="336" spans="1:19" x14ac:dyDescent="0.25">
      <c r="A336" t="s">
        <v>230</v>
      </c>
      <c r="B336" s="36">
        <v>1</v>
      </c>
    </row>
    <row r="338" spans="1:19" x14ac:dyDescent="0.25">
      <c r="A338" s="29" t="s">
        <v>255</v>
      </c>
    </row>
    <row r="339" spans="1:19" ht="45" x14ac:dyDescent="0.25">
      <c r="A339" t="s">
        <v>314</v>
      </c>
      <c r="B339" s="43" t="s">
        <v>248</v>
      </c>
      <c r="C339" s="43" t="s">
        <v>233</v>
      </c>
      <c r="D339" s="43" t="s">
        <v>234</v>
      </c>
      <c r="E339" s="43" t="s">
        <v>235</v>
      </c>
      <c r="F339" s="43" t="s">
        <v>236</v>
      </c>
      <c r="G339" s="43" t="s">
        <v>237</v>
      </c>
      <c r="H339" s="43" t="s">
        <v>238</v>
      </c>
      <c r="I339" s="43" t="s">
        <v>239</v>
      </c>
      <c r="J339" s="43" t="s">
        <v>240</v>
      </c>
      <c r="K339" s="43" t="s">
        <v>241</v>
      </c>
      <c r="L339" s="43" t="s">
        <v>242</v>
      </c>
      <c r="M339" s="43" t="s">
        <v>243</v>
      </c>
      <c r="N339" s="43" t="s">
        <v>244</v>
      </c>
      <c r="O339" s="44" t="s">
        <v>245</v>
      </c>
      <c r="P339" s="44" t="s">
        <v>246</v>
      </c>
      <c r="Q339" s="40" t="s">
        <v>283</v>
      </c>
      <c r="R339" s="40" t="s">
        <v>282</v>
      </c>
      <c r="S339" s="40" t="s">
        <v>286</v>
      </c>
    </row>
    <row r="340" spans="1:19" ht="15.75" thickBot="1" x14ac:dyDescent="0.3">
      <c r="A340" s="55" t="s">
        <v>28</v>
      </c>
      <c r="B340" s="34" t="s">
        <v>210</v>
      </c>
      <c r="C340" s="35">
        <f t="shared" ref="C340:P340" si="95">IF(ISNUMBER(C334),$B336*C334,C334)</f>
        <v>46498</v>
      </c>
      <c r="D340" s="35">
        <f t="shared" si="95"/>
        <v>30171.722570541107</v>
      </c>
      <c r="E340" s="35">
        <f t="shared" si="95"/>
        <v>322839</v>
      </c>
      <c r="F340" s="35">
        <f t="shared" si="95"/>
        <v>0</v>
      </c>
      <c r="G340" s="35">
        <f t="shared" si="95"/>
        <v>0</v>
      </c>
      <c r="H340" s="35">
        <f t="shared" si="95"/>
        <v>0</v>
      </c>
      <c r="I340" s="35">
        <f t="shared" si="95"/>
        <v>0</v>
      </c>
      <c r="J340" s="35" t="str">
        <f t="shared" si="95"/>
        <v>No</v>
      </c>
      <c r="K340" s="35">
        <f t="shared" si="95"/>
        <v>30171.722570541107</v>
      </c>
      <c r="L340" s="35">
        <f t="shared" si="95"/>
        <v>4601</v>
      </c>
      <c r="M340" s="35">
        <f t="shared" si="95"/>
        <v>46498</v>
      </c>
      <c r="N340" s="35">
        <f t="shared" si="95"/>
        <v>4455</v>
      </c>
      <c r="O340" s="35">
        <f t="shared" si="95"/>
        <v>46498</v>
      </c>
      <c r="P340" s="35">
        <f t="shared" si="95"/>
        <v>4455</v>
      </c>
      <c r="Q340" s="45">
        <f>E340/C340</f>
        <v>6.9430728203363588</v>
      </c>
      <c r="R340" s="46">
        <f>M340/N340</f>
        <v>10.43726150392817</v>
      </c>
      <c r="S340" s="37">
        <f>K340/L340</f>
        <v>6.5576445491286908</v>
      </c>
    </row>
    <row r="342" spans="1:19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</row>
    <row r="344" spans="1:19" x14ac:dyDescent="0.25">
      <c r="A344" s="26" t="s">
        <v>361</v>
      </c>
    </row>
    <row r="345" spans="1:19" x14ac:dyDescent="0.25">
      <c r="A345" s="29" t="s">
        <v>256</v>
      </c>
      <c r="B345" s="50" t="s">
        <v>33</v>
      </c>
      <c r="C345" t="s">
        <v>362</v>
      </c>
    </row>
    <row r="346" spans="1:19" ht="45" x14ac:dyDescent="0.25">
      <c r="A346" s="32" t="s">
        <v>247</v>
      </c>
      <c r="B346" s="32" t="s">
        <v>248</v>
      </c>
      <c r="C346" s="32" t="s">
        <v>233</v>
      </c>
      <c r="D346" s="32" t="s">
        <v>234</v>
      </c>
      <c r="E346" s="32" t="s">
        <v>235</v>
      </c>
      <c r="F346" s="32" t="s">
        <v>236</v>
      </c>
      <c r="G346" s="32" t="s">
        <v>237</v>
      </c>
      <c r="H346" s="32" t="s">
        <v>238</v>
      </c>
      <c r="I346" s="32" t="s">
        <v>239</v>
      </c>
      <c r="J346" s="32" t="s">
        <v>240</v>
      </c>
      <c r="K346" s="32" t="s">
        <v>241</v>
      </c>
      <c r="L346" s="32" t="s">
        <v>242</v>
      </c>
      <c r="M346" s="32" t="s">
        <v>243</v>
      </c>
      <c r="N346" s="32" t="s">
        <v>244</v>
      </c>
      <c r="O346" s="33" t="s">
        <v>245</v>
      </c>
      <c r="P346" s="33" t="s">
        <v>246</v>
      </c>
      <c r="Q346" s="40" t="s">
        <v>283</v>
      </c>
      <c r="R346" s="40" t="s">
        <v>282</v>
      </c>
      <c r="S346" s="40" t="s">
        <v>286</v>
      </c>
    </row>
    <row r="347" spans="1:19" x14ac:dyDescent="0.25">
      <c r="A347" t="s">
        <v>264</v>
      </c>
      <c r="B347" t="s">
        <v>251</v>
      </c>
      <c r="C347" s="2">
        <v>159440</v>
      </c>
      <c r="D347" s="2">
        <f>IF(C347=M347,K347,0)</f>
        <v>325922.67573077045</v>
      </c>
      <c r="E347" s="30">
        <v>999556</v>
      </c>
      <c r="F347" s="31">
        <v>0</v>
      </c>
      <c r="G347" s="2">
        <v>0</v>
      </c>
      <c r="H347" s="2">
        <v>0</v>
      </c>
      <c r="I347" s="30">
        <v>0</v>
      </c>
      <c r="J347" t="s">
        <v>252</v>
      </c>
      <c r="K347" s="2">
        <f>L347*VLOOKUP(A347,'APTL Reference'!$B$3:$E$21,4,FALSE)</f>
        <v>325922.67573077045</v>
      </c>
      <c r="L347" s="2">
        <v>87361</v>
      </c>
      <c r="M347" s="2">
        <v>159440</v>
      </c>
      <c r="N347" s="2">
        <v>11327</v>
      </c>
      <c r="O347" s="2">
        <f>M347</f>
        <v>159440</v>
      </c>
      <c r="P347" s="2">
        <f>N347</f>
        <v>11327</v>
      </c>
      <c r="Q347" s="41">
        <f>E347/C347</f>
        <v>6.2691670847967886</v>
      </c>
      <c r="R347" s="42">
        <f>M347/N347</f>
        <v>14.076101350754833</v>
      </c>
      <c r="S347" s="42">
        <f>K347/L347</f>
        <v>3.7307571540020197</v>
      </c>
    </row>
    <row r="348" spans="1:19" x14ac:dyDescent="0.25">
      <c r="C348" s="2"/>
      <c r="D348" s="2"/>
      <c r="E348" s="30"/>
      <c r="F348" s="31"/>
      <c r="G348" s="2"/>
      <c r="H348" s="2"/>
      <c r="I348" s="30"/>
      <c r="K348" s="2"/>
      <c r="L348" s="2"/>
      <c r="M348" s="2"/>
      <c r="N348" s="2"/>
      <c r="O348" s="2"/>
      <c r="P348" s="2"/>
      <c r="Q348" s="41"/>
      <c r="R348" s="42"/>
      <c r="S348" s="42"/>
    </row>
    <row r="349" spans="1:19" ht="15.75" thickBot="1" x14ac:dyDescent="0.3">
      <c r="A349" s="34" t="s">
        <v>210</v>
      </c>
      <c r="B349" s="34" t="s">
        <v>210</v>
      </c>
      <c r="C349" s="35">
        <f>SUM(C347:C348)</f>
        <v>159440</v>
      </c>
      <c r="D349" s="35">
        <f>SUM(D347:D348)</f>
        <v>325922.67573077045</v>
      </c>
      <c r="E349" s="35">
        <f t="shared" ref="E349:I349" si="96">SUM(E347:E348)</f>
        <v>999556</v>
      </c>
      <c r="F349" s="35">
        <f t="shared" si="96"/>
        <v>0</v>
      </c>
      <c r="G349" s="35">
        <f t="shared" si="96"/>
        <v>0</v>
      </c>
      <c r="H349" s="35">
        <f t="shared" si="96"/>
        <v>0</v>
      </c>
      <c r="I349" s="35">
        <f t="shared" si="96"/>
        <v>0</v>
      </c>
      <c r="J349" s="34" t="s">
        <v>252</v>
      </c>
      <c r="K349" s="35">
        <f>SUM(K347:K348)</f>
        <v>325922.67573077045</v>
      </c>
      <c r="L349" s="35">
        <f t="shared" ref="L349:P349" si="97">SUM(L347:L348)</f>
        <v>87361</v>
      </c>
      <c r="M349" s="35">
        <f t="shared" si="97"/>
        <v>159440</v>
      </c>
      <c r="N349" s="35">
        <f t="shared" si="97"/>
        <v>11327</v>
      </c>
      <c r="O349" s="35">
        <f t="shared" si="97"/>
        <v>159440</v>
      </c>
      <c r="P349" s="35">
        <f t="shared" si="97"/>
        <v>11327</v>
      </c>
      <c r="Q349" s="41">
        <f>E349/C349</f>
        <v>6.2691670847967886</v>
      </c>
      <c r="R349" s="42">
        <f>M349/N349</f>
        <v>14.076101350754833</v>
      </c>
      <c r="S349" s="42">
        <f>K349/L349</f>
        <v>3.7307571540020197</v>
      </c>
    </row>
    <row r="351" spans="1:19" x14ac:dyDescent="0.25">
      <c r="A351" t="s">
        <v>230</v>
      </c>
      <c r="B351" s="36">
        <v>1</v>
      </c>
    </row>
    <row r="353" spans="1:19" x14ac:dyDescent="0.25">
      <c r="A353" s="29" t="s">
        <v>255</v>
      </c>
    </row>
    <row r="354" spans="1:19" ht="45" x14ac:dyDescent="0.25">
      <c r="A354" t="s">
        <v>314</v>
      </c>
      <c r="B354" s="43" t="s">
        <v>248</v>
      </c>
      <c r="C354" s="43" t="s">
        <v>233</v>
      </c>
      <c r="D354" s="43" t="s">
        <v>234</v>
      </c>
      <c r="E354" s="43" t="s">
        <v>235</v>
      </c>
      <c r="F354" s="43" t="s">
        <v>236</v>
      </c>
      <c r="G354" s="43" t="s">
        <v>237</v>
      </c>
      <c r="H354" s="43" t="s">
        <v>238</v>
      </c>
      <c r="I354" s="43" t="s">
        <v>239</v>
      </c>
      <c r="J354" s="43" t="s">
        <v>240</v>
      </c>
      <c r="K354" s="43" t="s">
        <v>241</v>
      </c>
      <c r="L354" s="43" t="s">
        <v>242</v>
      </c>
      <c r="M354" s="43" t="s">
        <v>243</v>
      </c>
      <c r="N354" s="43" t="s">
        <v>244</v>
      </c>
      <c r="O354" s="44" t="s">
        <v>245</v>
      </c>
      <c r="P354" s="44" t="s">
        <v>246</v>
      </c>
      <c r="Q354" s="40" t="s">
        <v>283</v>
      </c>
      <c r="R354" s="40" t="s">
        <v>282</v>
      </c>
      <c r="S354" s="40" t="s">
        <v>286</v>
      </c>
    </row>
    <row r="355" spans="1:19" ht="15.75" thickBot="1" x14ac:dyDescent="0.3">
      <c r="A355" s="55" t="s">
        <v>31</v>
      </c>
      <c r="B355" s="34" t="s">
        <v>210</v>
      </c>
      <c r="C355" s="35">
        <f t="shared" ref="C355:P355" si="98">IF(ISNUMBER(C349),$B351*C349,C349)</f>
        <v>159440</v>
      </c>
      <c r="D355" s="35">
        <f t="shared" si="98"/>
        <v>325922.67573077045</v>
      </c>
      <c r="E355" s="35">
        <f t="shared" si="98"/>
        <v>999556</v>
      </c>
      <c r="F355" s="35">
        <f t="shared" si="98"/>
        <v>0</v>
      </c>
      <c r="G355" s="35">
        <f t="shared" si="98"/>
        <v>0</v>
      </c>
      <c r="H355" s="35">
        <f t="shared" si="98"/>
        <v>0</v>
      </c>
      <c r="I355" s="35">
        <f t="shared" si="98"/>
        <v>0</v>
      </c>
      <c r="J355" s="35" t="str">
        <f t="shared" si="98"/>
        <v>No</v>
      </c>
      <c r="K355" s="35">
        <f t="shared" si="98"/>
        <v>325922.67573077045</v>
      </c>
      <c r="L355" s="35">
        <f t="shared" si="98"/>
        <v>87361</v>
      </c>
      <c r="M355" s="35">
        <f t="shared" si="98"/>
        <v>159440</v>
      </c>
      <c r="N355" s="35">
        <f t="shared" si="98"/>
        <v>11327</v>
      </c>
      <c r="O355" s="35">
        <f t="shared" si="98"/>
        <v>159440</v>
      </c>
      <c r="P355" s="35">
        <f t="shared" si="98"/>
        <v>11327</v>
      </c>
      <c r="Q355" s="45">
        <f>E355/C355</f>
        <v>6.2691670847967886</v>
      </c>
      <c r="R355" s="46">
        <f>M355/N355</f>
        <v>14.076101350754833</v>
      </c>
      <c r="S355" s="37">
        <f>K355/L355</f>
        <v>3.7307571540020197</v>
      </c>
    </row>
    <row r="357" spans="1:19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</row>
    <row r="359" spans="1:19" x14ac:dyDescent="0.25">
      <c r="A359" s="26" t="s">
        <v>363</v>
      </c>
    </row>
    <row r="360" spans="1:19" x14ac:dyDescent="0.25">
      <c r="A360" s="29" t="s">
        <v>256</v>
      </c>
      <c r="B360" s="50" t="s">
        <v>36</v>
      </c>
      <c r="C360" t="s">
        <v>364</v>
      </c>
    </row>
    <row r="361" spans="1:19" ht="45" x14ac:dyDescent="0.25">
      <c r="A361" s="32" t="s">
        <v>247</v>
      </c>
      <c r="B361" s="32" t="s">
        <v>248</v>
      </c>
      <c r="C361" s="32" t="s">
        <v>233</v>
      </c>
      <c r="D361" s="32" t="s">
        <v>234</v>
      </c>
      <c r="E361" s="32" t="s">
        <v>235</v>
      </c>
      <c r="F361" s="32" t="s">
        <v>236</v>
      </c>
      <c r="G361" s="32" t="s">
        <v>237</v>
      </c>
      <c r="H361" s="32" t="s">
        <v>238</v>
      </c>
      <c r="I361" s="32" t="s">
        <v>239</v>
      </c>
      <c r="J361" s="32" t="s">
        <v>240</v>
      </c>
      <c r="K361" s="32" t="s">
        <v>241</v>
      </c>
      <c r="L361" s="32" t="s">
        <v>242</v>
      </c>
      <c r="M361" s="32" t="s">
        <v>243</v>
      </c>
      <c r="N361" s="32" t="s">
        <v>244</v>
      </c>
      <c r="O361" s="33" t="s">
        <v>245</v>
      </c>
      <c r="P361" s="33" t="s">
        <v>246</v>
      </c>
      <c r="Q361" s="40" t="s">
        <v>283</v>
      </c>
      <c r="R361" s="40" t="s">
        <v>282</v>
      </c>
      <c r="S361" s="40" t="s">
        <v>286</v>
      </c>
    </row>
    <row r="362" spans="1:19" x14ac:dyDescent="0.25">
      <c r="A362" t="s">
        <v>250</v>
      </c>
      <c r="B362" t="s">
        <v>251</v>
      </c>
      <c r="C362" s="2">
        <v>463292</v>
      </c>
      <c r="D362" s="2">
        <f>IF(C362=M362,K362,0)</f>
        <v>533142.89042967639</v>
      </c>
      <c r="E362" s="30">
        <v>943620</v>
      </c>
      <c r="F362" s="31">
        <v>0</v>
      </c>
      <c r="G362" s="2">
        <v>0</v>
      </c>
      <c r="H362" s="2">
        <v>0</v>
      </c>
      <c r="I362" s="30">
        <v>0</v>
      </c>
      <c r="J362" t="s">
        <v>252</v>
      </c>
      <c r="K362" s="2">
        <f>L362*VLOOKUP(A362,'APTL Reference'!$B$3:$E$21,4,FALSE)</f>
        <v>533142.89042967639</v>
      </c>
      <c r="L362" s="2">
        <v>57026</v>
      </c>
      <c r="M362" s="2">
        <v>463292</v>
      </c>
      <c r="N362" s="2">
        <v>24345</v>
      </c>
      <c r="O362" s="2">
        <f>M362</f>
        <v>463292</v>
      </c>
      <c r="P362" s="2">
        <f>N362</f>
        <v>24345</v>
      </c>
      <c r="Q362" s="41">
        <f>E362/C362</f>
        <v>2.0367716256702035</v>
      </c>
      <c r="R362" s="42">
        <f>M362/N362</f>
        <v>19.03027315670569</v>
      </c>
      <c r="S362" s="42">
        <f>K362/L362</f>
        <v>9.3491195319622005</v>
      </c>
    </row>
    <row r="363" spans="1:19" x14ac:dyDescent="0.25">
      <c r="A363" t="s">
        <v>264</v>
      </c>
      <c r="B363" t="s">
        <v>251</v>
      </c>
      <c r="C363" s="2">
        <v>54118</v>
      </c>
      <c r="D363" s="2">
        <f>IF(C363=M363,K363,0)</f>
        <v>36777.804024151912</v>
      </c>
      <c r="E363" s="30">
        <v>116093</v>
      </c>
      <c r="F363" s="31">
        <v>0</v>
      </c>
      <c r="G363" s="2">
        <v>0</v>
      </c>
      <c r="H363" s="2">
        <v>0</v>
      </c>
      <c r="I363" s="30">
        <v>0</v>
      </c>
      <c r="J363" t="s">
        <v>252</v>
      </c>
      <c r="K363" s="2">
        <f>L363*VLOOKUP(A363,'APTL Reference'!$B$3:$E$21,4,FALSE)</f>
        <v>36777.804024151912</v>
      </c>
      <c r="L363" s="2">
        <v>9858</v>
      </c>
      <c r="M363" s="2">
        <v>54118</v>
      </c>
      <c r="N363" s="2">
        <v>2594</v>
      </c>
      <c r="O363" s="2">
        <f>M363</f>
        <v>54118</v>
      </c>
      <c r="P363" s="2">
        <f>N363</f>
        <v>2594</v>
      </c>
      <c r="Q363" s="41">
        <f>E363/C363</f>
        <v>2.1451827488081601</v>
      </c>
      <c r="R363" s="42">
        <f>M363/N363</f>
        <v>20.862760215882805</v>
      </c>
      <c r="S363" s="42">
        <f>K363/L363</f>
        <v>3.7307571540020197</v>
      </c>
    </row>
    <row r="364" spans="1:19" ht="15.75" thickBot="1" x14ac:dyDescent="0.3">
      <c r="A364" s="34" t="s">
        <v>210</v>
      </c>
      <c r="B364" s="34" t="s">
        <v>210</v>
      </c>
      <c r="C364" s="35">
        <f>SUM(C362:C363)</f>
        <v>517410</v>
      </c>
      <c r="D364" s="35">
        <f>SUM(D362:D363)</f>
        <v>569920.69445382827</v>
      </c>
      <c r="E364" s="35">
        <f t="shared" ref="E364:I364" si="99">SUM(E362:E363)</f>
        <v>1059713</v>
      </c>
      <c r="F364" s="35">
        <f t="shared" si="99"/>
        <v>0</v>
      </c>
      <c r="G364" s="35">
        <f t="shared" si="99"/>
        <v>0</v>
      </c>
      <c r="H364" s="35">
        <f t="shared" si="99"/>
        <v>0</v>
      </c>
      <c r="I364" s="35">
        <f t="shared" si="99"/>
        <v>0</v>
      </c>
      <c r="J364" s="34" t="s">
        <v>252</v>
      </c>
      <c r="K364" s="35">
        <f>SUM(K362:K363)</f>
        <v>569920.69445382827</v>
      </c>
      <c r="L364" s="35">
        <f t="shared" ref="L364:P364" si="100">SUM(L362:L363)</f>
        <v>66884</v>
      </c>
      <c r="M364" s="35">
        <f t="shared" si="100"/>
        <v>517410</v>
      </c>
      <c r="N364" s="35">
        <f t="shared" si="100"/>
        <v>26939</v>
      </c>
      <c r="O364" s="35">
        <f t="shared" si="100"/>
        <v>517410</v>
      </c>
      <c r="P364" s="35">
        <f t="shared" si="100"/>
        <v>26939</v>
      </c>
      <c r="Q364" s="41">
        <f>E364/C364</f>
        <v>2.048110782551555</v>
      </c>
      <c r="R364" s="42">
        <f>M364/N364</f>
        <v>19.2067263075838</v>
      </c>
      <c r="S364" s="42">
        <f>K364/L364</f>
        <v>8.5210318529667521</v>
      </c>
    </row>
    <row r="366" spans="1:19" x14ac:dyDescent="0.25">
      <c r="A366" t="s">
        <v>230</v>
      </c>
      <c r="B366" s="36">
        <v>1</v>
      </c>
    </row>
    <row r="368" spans="1:19" x14ac:dyDescent="0.25">
      <c r="A368" s="29" t="s">
        <v>255</v>
      </c>
    </row>
    <row r="369" spans="1:19" ht="45" x14ac:dyDescent="0.25">
      <c r="A369" t="s">
        <v>314</v>
      </c>
      <c r="B369" s="43" t="s">
        <v>248</v>
      </c>
      <c r="C369" s="43" t="s">
        <v>233</v>
      </c>
      <c r="D369" s="43" t="s">
        <v>234</v>
      </c>
      <c r="E369" s="43" t="s">
        <v>235</v>
      </c>
      <c r="F369" s="43" t="s">
        <v>236</v>
      </c>
      <c r="G369" s="43" t="s">
        <v>237</v>
      </c>
      <c r="H369" s="43" t="s">
        <v>238</v>
      </c>
      <c r="I369" s="43" t="s">
        <v>239</v>
      </c>
      <c r="J369" s="43" t="s">
        <v>240</v>
      </c>
      <c r="K369" s="43" t="s">
        <v>241</v>
      </c>
      <c r="L369" s="43" t="s">
        <v>242</v>
      </c>
      <c r="M369" s="43" t="s">
        <v>243</v>
      </c>
      <c r="N369" s="43" t="s">
        <v>244</v>
      </c>
      <c r="O369" s="44" t="s">
        <v>245</v>
      </c>
      <c r="P369" s="44" t="s">
        <v>246</v>
      </c>
      <c r="Q369" s="40" t="s">
        <v>283</v>
      </c>
      <c r="R369" s="40" t="s">
        <v>282</v>
      </c>
      <c r="S369" s="40" t="s">
        <v>286</v>
      </c>
    </row>
    <row r="370" spans="1:19" ht="15.75" thickBot="1" x14ac:dyDescent="0.3">
      <c r="A370" s="55" t="s">
        <v>34</v>
      </c>
      <c r="B370" s="34" t="s">
        <v>210</v>
      </c>
      <c r="C370" s="35">
        <f t="shared" ref="C370:P370" si="101">IF(ISNUMBER(C364),$B366*C364,C364)</f>
        <v>517410</v>
      </c>
      <c r="D370" s="35">
        <f t="shared" si="101"/>
        <v>569920.69445382827</v>
      </c>
      <c r="E370" s="35">
        <f t="shared" si="101"/>
        <v>1059713</v>
      </c>
      <c r="F370" s="35">
        <f t="shared" si="101"/>
        <v>0</v>
      </c>
      <c r="G370" s="35">
        <f t="shared" si="101"/>
        <v>0</v>
      </c>
      <c r="H370" s="35">
        <f t="shared" si="101"/>
        <v>0</v>
      </c>
      <c r="I370" s="35">
        <f t="shared" si="101"/>
        <v>0</v>
      </c>
      <c r="J370" s="35" t="str">
        <f t="shared" si="101"/>
        <v>No</v>
      </c>
      <c r="K370" s="35">
        <f t="shared" si="101"/>
        <v>569920.69445382827</v>
      </c>
      <c r="L370" s="35">
        <f t="shared" si="101"/>
        <v>66884</v>
      </c>
      <c r="M370" s="35">
        <f t="shared" si="101"/>
        <v>517410</v>
      </c>
      <c r="N370" s="35">
        <f t="shared" si="101"/>
        <v>26939</v>
      </c>
      <c r="O370" s="35">
        <f t="shared" si="101"/>
        <v>517410</v>
      </c>
      <c r="P370" s="35">
        <f t="shared" si="101"/>
        <v>26939</v>
      </c>
      <c r="Q370" s="45">
        <f>E370/C370</f>
        <v>2.048110782551555</v>
      </c>
      <c r="R370" s="46">
        <f>M370/N370</f>
        <v>19.2067263075838</v>
      </c>
      <c r="S370" s="37">
        <f>K370/L370</f>
        <v>8.5210318529667521</v>
      </c>
    </row>
    <row r="372" spans="1:19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</row>
    <row r="374" spans="1:19" x14ac:dyDescent="0.25">
      <c r="A374" s="26" t="s">
        <v>365</v>
      </c>
    </row>
    <row r="375" spans="1:19" x14ac:dyDescent="0.25">
      <c r="A375" s="29" t="s">
        <v>256</v>
      </c>
      <c r="B375" s="50" t="s">
        <v>44</v>
      </c>
      <c r="C375" t="s">
        <v>366</v>
      </c>
    </row>
    <row r="376" spans="1:19" ht="45" x14ac:dyDescent="0.25">
      <c r="A376" s="32" t="s">
        <v>247</v>
      </c>
      <c r="B376" s="32" t="s">
        <v>248</v>
      </c>
      <c r="C376" s="32" t="s">
        <v>233</v>
      </c>
      <c r="D376" s="32" t="s">
        <v>234</v>
      </c>
      <c r="E376" s="32" t="s">
        <v>235</v>
      </c>
      <c r="F376" s="32" t="s">
        <v>236</v>
      </c>
      <c r="G376" s="32" t="s">
        <v>237</v>
      </c>
      <c r="H376" s="32" t="s">
        <v>238</v>
      </c>
      <c r="I376" s="32" t="s">
        <v>239</v>
      </c>
      <c r="J376" s="32" t="s">
        <v>240</v>
      </c>
      <c r="K376" s="32" t="s">
        <v>241</v>
      </c>
      <c r="L376" s="32" t="s">
        <v>242</v>
      </c>
      <c r="M376" s="32" t="s">
        <v>243</v>
      </c>
      <c r="N376" s="32" t="s">
        <v>244</v>
      </c>
      <c r="O376" s="33" t="s">
        <v>245</v>
      </c>
      <c r="P376" s="33" t="s">
        <v>246</v>
      </c>
      <c r="Q376" s="40" t="s">
        <v>283</v>
      </c>
      <c r="R376" s="40" t="s">
        <v>282</v>
      </c>
      <c r="S376" s="40" t="s">
        <v>286</v>
      </c>
    </row>
    <row r="377" spans="1:19" x14ac:dyDescent="0.25">
      <c r="A377" t="s">
        <v>250</v>
      </c>
      <c r="B377" t="s">
        <v>251</v>
      </c>
      <c r="C377" s="2">
        <v>19555</v>
      </c>
      <c r="D377" s="2">
        <f>IF(C377=M377,K377,0)</f>
        <v>155616.09460951079</v>
      </c>
      <c r="E377" s="30">
        <v>90232</v>
      </c>
      <c r="F377" s="31">
        <v>0</v>
      </c>
      <c r="G377" s="2">
        <v>0</v>
      </c>
      <c r="H377" s="2">
        <v>0</v>
      </c>
      <c r="I377" s="30">
        <v>0</v>
      </c>
      <c r="J377" t="s">
        <v>252</v>
      </c>
      <c r="K377" s="2">
        <f>L377*VLOOKUP(A377,'APTL Reference'!$B$3:$E$21,4,FALSE)</f>
        <v>155616.09460951079</v>
      </c>
      <c r="L377" s="2">
        <v>16645</v>
      </c>
      <c r="M377" s="2">
        <v>19555</v>
      </c>
      <c r="N377" s="2">
        <v>2358</v>
      </c>
      <c r="O377" s="2">
        <f>M377</f>
        <v>19555</v>
      </c>
      <c r="P377" s="2">
        <f>N377</f>
        <v>2358</v>
      </c>
      <c r="Q377" s="41">
        <f>E377/C377</f>
        <v>4.6142674507798516</v>
      </c>
      <c r="R377" s="42">
        <f>M377/N377</f>
        <v>8.2930449533502966</v>
      </c>
      <c r="S377" s="42">
        <f>K377/L377</f>
        <v>9.3491195319621987</v>
      </c>
    </row>
    <row r="378" spans="1:19" x14ac:dyDescent="0.25">
      <c r="A378" t="s">
        <v>264</v>
      </c>
      <c r="B378" t="s">
        <v>251</v>
      </c>
      <c r="C378" s="2">
        <v>180032</v>
      </c>
      <c r="D378" s="2">
        <f>IF(C378=M378,K378,0)</f>
        <v>72824.379646119429</v>
      </c>
      <c r="E378" s="30">
        <v>830506</v>
      </c>
      <c r="F378" s="31">
        <v>0</v>
      </c>
      <c r="G378" s="2">
        <v>0</v>
      </c>
      <c r="H378" s="2">
        <v>0</v>
      </c>
      <c r="I378" s="30">
        <v>0</v>
      </c>
      <c r="J378" t="s">
        <v>252</v>
      </c>
      <c r="K378" s="2">
        <f>L378*VLOOKUP(A378,'APTL Reference'!$B$3:$E$21,4,FALSE)</f>
        <v>72824.379646119429</v>
      </c>
      <c r="L378" s="2">
        <v>19520</v>
      </c>
      <c r="M378" s="2">
        <v>180032</v>
      </c>
      <c r="N378" s="2">
        <v>12597</v>
      </c>
      <c r="O378" s="2">
        <f>M378</f>
        <v>180032</v>
      </c>
      <c r="P378" s="2">
        <f>N378</f>
        <v>12597</v>
      </c>
      <c r="Q378" s="41">
        <f>E378/C378</f>
        <v>4.6131021151795233</v>
      </c>
      <c r="R378" s="42">
        <f>M378/N378</f>
        <v>14.291656743669128</v>
      </c>
      <c r="S378" s="42">
        <f>K378/L378</f>
        <v>3.7307571540020201</v>
      </c>
    </row>
    <row r="379" spans="1:19" ht="15.75" thickBot="1" x14ac:dyDescent="0.3">
      <c r="A379" s="34" t="s">
        <v>210</v>
      </c>
      <c r="B379" s="34" t="s">
        <v>210</v>
      </c>
      <c r="C379" s="35">
        <f>SUM(C377:C378)</f>
        <v>199587</v>
      </c>
      <c r="D379" s="35">
        <f>SUM(D377:D378)</f>
        <v>228440.47425563022</v>
      </c>
      <c r="E379" s="35">
        <f t="shared" ref="E379:I379" si="102">SUM(E377:E378)</f>
        <v>920738</v>
      </c>
      <c r="F379" s="35">
        <f t="shared" si="102"/>
        <v>0</v>
      </c>
      <c r="G379" s="35">
        <f t="shared" si="102"/>
        <v>0</v>
      </c>
      <c r="H379" s="35">
        <f t="shared" si="102"/>
        <v>0</v>
      </c>
      <c r="I379" s="35">
        <f t="shared" si="102"/>
        <v>0</v>
      </c>
      <c r="J379" s="34" t="s">
        <v>252</v>
      </c>
      <c r="K379" s="35">
        <f>SUM(K377:K378)</f>
        <v>228440.47425563022</v>
      </c>
      <c r="L379" s="35">
        <f t="shared" ref="L379:P379" si="103">SUM(L377:L378)</f>
        <v>36165</v>
      </c>
      <c r="M379" s="35">
        <f t="shared" si="103"/>
        <v>199587</v>
      </c>
      <c r="N379" s="35">
        <f t="shared" si="103"/>
        <v>14955</v>
      </c>
      <c r="O379" s="35">
        <f t="shared" si="103"/>
        <v>199587</v>
      </c>
      <c r="P379" s="35">
        <f t="shared" si="103"/>
        <v>14955</v>
      </c>
      <c r="Q379" s="41">
        <f>E379/C379</f>
        <v>4.6132162916422415</v>
      </c>
      <c r="R379" s="42">
        <f>M379/N379</f>
        <v>13.345837512537614</v>
      </c>
      <c r="S379" s="42">
        <f>K379/L379</f>
        <v>6.3166175654812724</v>
      </c>
    </row>
    <row r="381" spans="1:19" x14ac:dyDescent="0.25">
      <c r="A381" t="s">
        <v>230</v>
      </c>
      <c r="B381" s="36">
        <v>1</v>
      </c>
    </row>
    <row r="383" spans="1:19" x14ac:dyDescent="0.25">
      <c r="A383" s="29" t="s">
        <v>255</v>
      </c>
    </row>
    <row r="384" spans="1:19" ht="45" x14ac:dyDescent="0.25">
      <c r="A384" t="s">
        <v>314</v>
      </c>
      <c r="B384" s="43" t="s">
        <v>248</v>
      </c>
      <c r="C384" s="43" t="s">
        <v>233</v>
      </c>
      <c r="D384" s="43" t="s">
        <v>234</v>
      </c>
      <c r="E384" s="43" t="s">
        <v>235</v>
      </c>
      <c r="F384" s="43" t="s">
        <v>236</v>
      </c>
      <c r="G384" s="43" t="s">
        <v>237</v>
      </c>
      <c r="H384" s="43" t="s">
        <v>238</v>
      </c>
      <c r="I384" s="43" t="s">
        <v>239</v>
      </c>
      <c r="J384" s="43" t="s">
        <v>240</v>
      </c>
      <c r="K384" s="43" t="s">
        <v>241</v>
      </c>
      <c r="L384" s="43" t="s">
        <v>242</v>
      </c>
      <c r="M384" s="43" t="s">
        <v>243</v>
      </c>
      <c r="N384" s="43" t="s">
        <v>244</v>
      </c>
      <c r="O384" s="44" t="s">
        <v>245</v>
      </c>
      <c r="P384" s="44" t="s">
        <v>246</v>
      </c>
      <c r="Q384" s="40" t="s">
        <v>283</v>
      </c>
      <c r="R384" s="40" t="s">
        <v>282</v>
      </c>
      <c r="S384" s="40" t="s">
        <v>286</v>
      </c>
    </row>
    <row r="385" spans="1:19" ht="15.75" thickBot="1" x14ac:dyDescent="0.3">
      <c r="A385" s="55" t="s">
        <v>42</v>
      </c>
      <c r="B385" s="34" t="s">
        <v>210</v>
      </c>
      <c r="C385" s="35">
        <f t="shared" ref="C385:P385" si="104">IF(ISNUMBER(C379),$B381*C379,C379)</f>
        <v>199587</v>
      </c>
      <c r="D385" s="35">
        <f t="shared" si="104"/>
        <v>228440.47425563022</v>
      </c>
      <c r="E385" s="35">
        <f t="shared" si="104"/>
        <v>920738</v>
      </c>
      <c r="F385" s="35">
        <f t="shared" si="104"/>
        <v>0</v>
      </c>
      <c r="G385" s="35">
        <f t="shared" si="104"/>
        <v>0</v>
      </c>
      <c r="H385" s="35">
        <f t="shared" si="104"/>
        <v>0</v>
      </c>
      <c r="I385" s="35">
        <f t="shared" si="104"/>
        <v>0</v>
      </c>
      <c r="J385" s="35" t="str">
        <f t="shared" si="104"/>
        <v>No</v>
      </c>
      <c r="K385" s="35">
        <f t="shared" si="104"/>
        <v>228440.47425563022</v>
      </c>
      <c r="L385" s="35">
        <f t="shared" si="104"/>
        <v>36165</v>
      </c>
      <c r="M385" s="35">
        <f t="shared" si="104"/>
        <v>199587</v>
      </c>
      <c r="N385" s="35">
        <f t="shared" si="104"/>
        <v>14955</v>
      </c>
      <c r="O385" s="35">
        <f t="shared" si="104"/>
        <v>199587</v>
      </c>
      <c r="P385" s="35">
        <f t="shared" si="104"/>
        <v>14955</v>
      </c>
      <c r="Q385" s="45">
        <f>E385/C385</f>
        <v>4.6132162916422415</v>
      </c>
      <c r="R385" s="46">
        <f>M385/N385</f>
        <v>13.345837512537614</v>
      </c>
      <c r="S385" s="37">
        <f>K385/L385</f>
        <v>6.3166175654812724</v>
      </c>
    </row>
    <row r="387" spans="1:19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</row>
    <row r="389" spans="1:19" x14ac:dyDescent="0.25">
      <c r="A389" s="26" t="s">
        <v>367</v>
      </c>
    </row>
    <row r="390" spans="1:19" x14ac:dyDescent="0.25">
      <c r="A390" s="29" t="s">
        <v>256</v>
      </c>
      <c r="B390" s="50" t="s">
        <v>220</v>
      </c>
      <c r="C390" t="s">
        <v>221</v>
      </c>
    </row>
    <row r="391" spans="1:19" ht="45" x14ac:dyDescent="0.25">
      <c r="A391" s="32" t="s">
        <v>247</v>
      </c>
      <c r="B391" s="32" t="s">
        <v>248</v>
      </c>
      <c r="C391" s="32" t="s">
        <v>233</v>
      </c>
      <c r="D391" s="32" t="s">
        <v>234</v>
      </c>
      <c r="E391" s="32" t="s">
        <v>235</v>
      </c>
      <c r="F391" s="32" t="s">
        <v>236</v>
      </c>
      <c r="G391" s="32" t="s">
        <v>237</v>
      </c>
      <c r="H391" s="32" t="s">
        <v>238</v>
      </c>
      <c r="I391" s="32" t="s">
        <v>239</v>
      </c>
      <c r="J391" s="32" t="s">
        <v>240</v>
      </c>
      <c r="K391" s="32" t="s">
        <v>241</v>
      </c>
      <c r="L391" s="32" t="s">
        <v>242</v>
      </c>
      <c r="M391" s="32" t="s">
        <v>243</v>
      </c>
      <c r="N391" s="32" t="s">
        <v>244</v>
      </c>
      <c r="O391" s="33" t="s">
        <v>245</v>
      </c>
      <c r="P391" s="33" t="s">
        <v>246</v>
      </c>
      <c r="Q391" s="40" t="s">
        <v>283</v>
      </c>
      <c r="R391" s="40" t="s">
        <v>282</v>
      </c>
      <c r="S391" s="40" t="s">
        <v>286</v>
      </c>
    </row>
    <row r="392" spans="1:19" x14ac:dyDescent="0.25">
      <c r="A392" t="s">
        <v>250</v>
      </c>
      <c r="B392" t="s">
        <v>251</v>
      </c>
      <c r="C392" s="2">
        <v>37184</v>
      </c>
      <c r="D392" s="2">
        <f>IF(C392=M392,K392,0)</f>
        <v>48166.663828669247</v>
      </c>
      <c r="E392" s="30">
        <v>140332</v>
      </c>
      <c r="F392" s="31">
        <v>0</v>
      </c>
      <c r="G392" s="2">
        <v>0</v>
      </c>
      <c r="H392" s="2">
        <v>0</v>
      </c>
      <c r="I392" s="30">
        <v>0</v>
      </c>
      <c r="J392" t="s">
        <v>252</v>
      </c>
      <c r="K392" s="2">
        <f>L392*VLOOKUP(A392,'APTL Reference'!$B$3:$E$21,4,FALSE)</f>
        <v>48166.663828669247</v>
      </c>
      <c r="L392" s="2">
        <v>5152</v>
      </c>
      <c r="M392" s="2">
        <v>37184</v>
      </c>
      <c r="N392" s="2">
        <v>2538</v>
      </c>
      <c r="O392" s="2">
        <f>M392</f>
        <v>37184</v>
      </c>
      <c r="P392" s="2">
        <f>N392</f>
        <v>2538</v>
      </c>
      <c r="Q392" s="41">
        <f>E392/C392</f>
        <v>3.7739888123924268</v>
      </c>
      <c r="R392" s="42">
        <f>M392/N392</f>
        <v>14.65090622537431</v>
      </c>
      <c r="S392" s="42">
        <f>K392/L392</f>
        <v>9.3491195319621987</v>
      </c>
    </row>
    <row r="393" spans="1:19" x14ac:dyDescent="0.25">
      <c r="A393" t="s">
        <v>264</v>
      </c>
      <c r="B393" t="s">
        <v>251</v>
      </c>
      <c r="C393" s="2">
        <v>287003</v>
      </c>
      <c r="D393" s="2">
        <f>IF(C393=M393,K393,0)</f>
        <v>591847.31491088052</v>
      </c>
      <c r="E393" s="30">
        <v>1083141</v>
      </c>
      <c r="F393" s="31">
        <v>0</v>
      </c>
      <c r="G393" s="2">
        <v>0</v>
      </c>
      <c r="H393" s="2">
        <v>0</v>
      </c>
      <c r="I393" s="30">
        <v>0</v>
      </c>
      <c r="J393" t="s">
        <v>252</v>
      </c>
      <c r="K393" s="2">
        <f>L393*VLOOKUP(A393,'APTL Reference'!$B$3:$E$21,4,FALSE)</f>
        <v>591847.31491088052</v>
      </c>
      <c r="L393" s="2">
        <v>158640</v>
      </c>
      <c r="M393" s="2">
        <v>287003</v>
      </c>
      <c r="N393" s="2">
        <v>27525</v>
      </c>
      <c r="O393" s="2">
        <f>M393</f>
        <v>287003</v>
      </c>
      <c r="P393" s="2">
        <f>N393</f>
        <v>27525</v>
      </c>
      <c r="Q393" s="41">
        <f>E393/C393</f>
        <v>3.773971003787417</v>
      </c>
      <c r="R393" s="42">
        <f>M393/N393</f>
        <v>10.426993642143506</v>
      </c>
      <c r="S393" s="42">
        <f>K393/L393</f>
        <v>3.7307571540020206</v>
      </c>
    </row>
    <row r="394" spans="1:19" ht="15.75" thickBot="1" x14ac:dyDescent="0.3">
      <c r="A394" s="34" t="s">
        <v>210</v>
      </c>
      <c r="B394" s="34" t="s">
        <v>210</v>
      </c>
      <c r="C394" s="35">
        <f>SUM(C392:C393)</f>
        <v>324187</v>
      </c>
      <c r="D394" s="35">
        <f>SUM(D392:D393)</f>
        <v>640013.97873954976</v>
      </c>
      <c r="E394" s="35">
        <f t="shared" ref="E394:I394" si="105">SUM(E392:E393)</f>
        <v>1223473</v>
      </c>
      <c r="F394" s="35">
        <f t="shared" si="105"/>
        <v>0</v>
      </c>
      <c r="G394" s="35">
        <f t="shared" si="105"/>
        <v>0</v>
      </c>
      <c r="H394" s="35">
        <f t="shared" si="105"/>
        <v>0</v>
      </c>
      <c r="I394" s="35">
        <f t="shared" si="105"/>
        <v>0</v>
      </c>
      <c r="J394" s="34" t="s">
        <v>252</v>
      </c>
      <c r="K394" s="35">
        <f>SUM(K392:K393)</f>
        <v>640013.97873954976</v>
      </c>
      <c r="L394" s="35">
        <f t="shared" ref="L394:P394" si="106">SUM(L392:L393)</f>
        <v>163792</v>
      </c>
      <c r="M394" s="35">
        <f t="shared" si="106"/>
        <v>324187</v>
      </c>
      <c r="N394" s="35">
        <f t="shared" si="106"/>
        <v>30063</v>
      </c>
      <c r="O394" s="35">
        <f t="shared" si="106"/>
        <v>324187</v>
      </c>
      <c r="P394" s="35">
        <f t="shared" si="106"/>
        <v>30063</v>
      </c>
      <c r="Q394" s="41">
        <f>E394/C394</f>
        <v>3.7739730464207386</v>
      </c>
      <c r="R394" s="42">
        <f>M394/N394</f>
        <v>10.783587798955526</v>
      </c>
      <c r="S394" s="42">
        <f>K394/L394</f>
        <v>3.9074800890125876</v>
      </c>
    </row>
    <row r="396" spans="1:19" x14ac:dyDescent="0.25">
      <c r="A396" t="s">
        <v>230</v>
      </c>
      <c r="B396" s="36">
        <v>1</v>
      </c>
    </row>
    <row r="398" spans="1:19" x14ac:dyDescent="0.25">
      <c r="A398" s="29" t="s">
        <v>255</v>
      </c>
    </row>
    <row r="399" spans="1:19" ht="45" x14ac:dyDescent="0.25">
      <c r="A399" t="s">
        <v>314</v>
      </c>
      <c r="B399" s="43" t="s">
        <v>248</v>
      </c>
      <c r="C399" s="43" t="s">
        <v>233</v>
      </c>
      <c r="D399" s="43" t="s">
        <v>234</v>
      </c>
      <c r="E399" s="43" t="s">
        <v>235</v>
      </c>
      <c r="F399" s="43" t="s">
        <v>236</v>
      </c>
      <c r="G399" s="43" t="s">
        <v>237</v>
      </c>
      <c r="H399" s="43" t="s">
        <v>238</v>
      </c>
      <c r="I399" s="43" t="s">
        <v>239</v>
      </c>
      <c r="J399" s="43" t="s">
        <v>240</v>
      </c>
      <c r="K399" s="43" t="s">
        <v>241</v>
      </c>
      <c r="L399" s="43" t="s">
        <v>242</v>
      </c>
      <c r="M399" s="43" t="s">
        <v>243</v>
      </c>
      <c r="N399" s="43" t="s">
        <v>244</v>
      </c>
      <c r="O399" s="44" t="s">
        <v>245</v>
      </c>
      <c r="P399" s="44" t="s">
        <v>246</v>
      </c>
      <c r="Q399" s="40" t="s">
        <v>283</v>
      </c>
      <c r="R399" s="40" t="s">
        <v>282</v>
      </c>
      <c r="S399" s="40" t="s">
        <v>286</v>
      </c>
    </row>
    <row r="400" spans="1:19" ht="15.75" thickBot="1" x14ac:dyDescent="0.3">
      <c r="A400" s="55" t="s">
        <v>47</v>
      </c>
      <c r="B400" s="34" t="s">
        <v>210</v>
      </c>
      <c r="C400" s="35">
        <f t="shared" ref="C400:P400" si="107">IF(ISNUMBER(C394),$B396*C394,C394)</f>
        <v>324187</v>
      </c>
      <c r="D400" s="35">
        <f t="shared" si="107"/>
        <v>640013.97873954976</v>
      </c>
      <c r="E400" s="35">
        <f t="shared" si="107"/>
        <v>1223473</v>
      </c>
      <c r="F400" s="35">
        <f t="shared" si="107"/>
        <v>0</v>
      </c>
      <c r="G400" s="35">
        <f t="shared" si="107"/>
        <v>0</v>
      </c>
      <c r="H400" s="35">
        <f t="shared" si="107"/>
        <v>0</v>
      </c>
      <c r="I400" s="35">
        <f t="shared" si="107"/>
        <v>0</v>
      </c>
      <c r="J400" s="35" t="str">
        <f t="shared" si="107"/>
        <v>No</v>
      </c>
      <c r="K400" s="35">
        <f t="shared" si="107"/>
        <v>640013.97873954976</v>
      </c>
      <c r="L400" s="35">
        <f t="shared" si="107"/>
        <v>163792</v>
      </c>
      <c r="M400" s="35">
        <f t="shared" si="107"/>
        <v>324187</v>
      </c>
      <c r="N400" s="35">
        <f t="shared" si="107"/>
        <v>30063</v>
      </c>
      <c r="O400" s="35">
        <f t="shared" si="107"/>
        <v>324187</v>
      </c>
      <c r="P400" s="35">
        <f t="shared" si="107"/>
        <v>30063</v>
      </c>
      <c r="Q400" s="45">
        <f>E400/C400</f>
        <v>3.7739730464207386</v>
      </c>
      <c r="R400" s="46">
        <f>M400/N400</f>
        <v>10.783587798955526</v>
      </c>
      <c r="S400" s="37">
        <f>K400/L400</f>
        <v>3.9074800890125876</v>
      </c>
    </row>
    <row r="402" spans="1:19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</row>
    <row r="404" spans="1:19" x14ac:dyDescent="0.25">
      <c r="A404" s="26" t="s">
        <v>368</v>
      </c>
    </row>
    <row r="405" spans="1:19" x14ac:dyDescent="0.25">
      <c r="A405" s="29" t="s">
        <v>256</v>
      </c>
      <c r="B405" s="50" t="s">
        <v>51</v>
      </c>
      <c r="C405" t="s">
        <v>369</v>
      </c>
    </row>
    <row r="406" spans="1:19" ht="45" x14ac:dyDescent="0.25">
      <c r="A406" s="32" t="s">
        <v>247</v>
      </c>
      <c r="B406" s="32" t="s">
        <v>248</v>
      </c>
      <c r="C406" s="32" t="s">
        <v>233</v>
      </c>
      <c r="D406" s="32" t="s">
        <v>234</v>
      </c>
      <c r="E406" s="32" t="s">
        <v>235</v>
      </c>
      <c r="F406" s="32" t="s">
        <v>236</v>
      </c>
      <c r="G406" s="32" t="s">
        <v>237</v>
      </c>
      <c r="H406" s="32" t="s">
        <v>238</v>
      </c>
      <c r="I406" s="32" t="s">
        <v>239</v>
      </c>
      <c r="J406" s="32" t="s">
        <v>240</v>
      </c>
      <c r="K406" s="32" t="s">
        <v>241</v>
      </c>
      <c r="L406" s="32" t="s">
        <v>242</v>
      </c>
      <c r="M406" s="32" t="s">
        <v>243</v>
      </c>
      <c r="N406" s="32" t="s">
        <v>244</v>
      </c>
      <c r="O406" s="33" t="s">
        <v>245</v>
      </c>
      <c r="P406" s="33" t="s">
        <v>246</v>
      </c>
      <c r="Q406" s="40" t="s">
        <v>283</v>
      </c>
      <c r="R406" s="40" t="s">
        <v>282</v>
      </c>
      <c r="S406" s="40" t="s">
        <v>286</v>
      </c>
    </row>
    <row r="407" spans="1:19" x14ac:dyDescent="0.25">
      <c r="A407" t="s">
        <v>250</v>
      </c>
      <c r="B407" t="s">
        <v>251</v>
      </c>
      <c r="C407" s="2">
        <v>37395</v>
      </c>
      <c r="D407" s="2">
        <f>IF(C407=M407,K407,0)</f>
        <v>87068.35020116395</v>
      </c>
      <c r="E407" s="30">
        <v>189339</v>
      </c>
      <c r="F407" s="31">
        <v>0</v>
      </c>
      <c r="G407" s="2">
        <v>0</v>
      </c>
      <c r="H407" s="2">
        <v>0</v>
      </c>
      <c r="I407" s="30">
        <v>0</v>
      </c>
      <c r="J407" t="s">
        <v>252</v>
      </c>
      <c r="K407" s="2">
        <f>L407*VLOOKUP(A407,'APTL Reference'!$B$3:$E$21,4,FALSE)</f>
        <v>87068.35020116395</v>
      </c>
      <c r="L407" s="2">
        <v>9313</v>
      </c>
      <c r="M407" s="2">
        <v>37395</v>
      </c>
      <c r="N407" s="2">
        <v>7082</v>
      </c>
      <c r="O407" s="2">
        <f>M407</f>
        <v>37395</v>
      </c>
      <c r="P407" s="2">
        <f>N407</f>
        <v>7082</v>
      </c>
      <c r="Q407" s="41">
        <f>E407/C407</f>
        <v>5.0632170076213399</v>
      </c>
      <c r="R407" s="42">
        <f>M407/N407</f>
        <v>5.2802880542219714</v>
      </c>
      <c r="S407" s="42">
        <f>K407/L407</f>
        <v>9.3491195319621987</v>
      </c>
    </row>
    <row r="408" spans="1:19" x14ac:dyDescent="0.25">
      <c r="A408" t="s">
        <v>264</v>
      </c>
      <c r="B408" t="s">
        <v>251</v>
      </c>
      <c r="C408" s="2">
        <v>645798</v>
      </c>
      <c r="D408" s="2">
        <f>IF(C408=M408,K408,0)</f>
        <v>1963217.6833647131</v>
      </c>
      <c r="E408" s="30">
        <v>2895279</v>
      </c>
      <c r="F408" s="31">
        <v>0</v>
      </c>
      <c r="G408" s="2">
        <v>0</v>
      </c>
      <c r="H408" s="2">
        <v>0</v>
      </c>
      <c r="I408" s="30">
        <v>0</v>
      </c>
      <c r="J408" t="s">
        <v>252</v>
      </c>
      <c r="K408" s="2">
        <f>L408*VLOOKUP(A408,'APTL Reference'!$B$3:$E$21,4,FALSE)</f>
        <v>1963217.6833647131</v>
      </c>
      <c r="L408" s="2">
        <v>526225</v>
      </c>
      <c r="M408" s="2">
        <v>645798</v>
      </c>
      <c r="N408" s="2">
        <v>39874</v>
      </c>
      <c r="O408" s="2">
        <f>M408</f>
        <v>645798</v>
      </c>
      <c r="P408" s="2">
        <f>N408</f>
        <v>39874</v>
      </c>
      <c r="Q408" s="41">
        <f>E408/C408</f>
        <v>4.4832579227560316</v>
      </c>
      <c r="R408" s="42">
        <f>M408/N408</f>
        <v>16.195967296985504</v>
      </c>
      <c r="S408" s="42">
        <f>K408/L408</f>
        <v>3.7307571540020201</v>
      </c>
    </row>
    <row r="409" spans="1:19" ht="15.75" thickBot="1" x14ac:dyDescent="0.3">
      <c r="A409" s="34" t="s">
        <v>210</v>
      </c>
      <c r="B409" s="34" t="s">
        <v>210</v>
      </c>
      <c r="C409" s="35">
        <f>SUM(C407:C408)</f>
        <v>683193</v>
      </c>
      <c r="D409" s="35">
        <f>SUM(D407:D408)</f>
        <v>2050286.033565877</v>
      </c>
      <c r="E409" s="35">
        <f t="shared" ref="E409:I409" si="108">SUM(E407:E408)</f>
        <v>3084618</v>
      </c>
      <c r="F409" s="35">
        <f t="shared" si="108"/>
        <v>0</v>
      </c>
      <c r="G409" s="35">
        <f t="shared" si="108"/>
        <v>0</v>
      </c>
      <c r="H409" s="35">
        <f t="shared" si="108"/>
        <v>0</v>
      </c>
      <c r="I409" s="35">
        <f t="shared" si="108"/>
        <v>0</v>
      </c>
      <c r="J409" s="34" t="s">
        <v>252</v>
      </c>
      <c r="K409" s="35">
        <f>SUM(K407:K408)</f>
        <v>2050286.033565877</v>
      </c>
      <c r="L409" s="35">
        <f t="shared" ref="L409:P409" si="109">SUM(L407:L408)</f>
        <v>535538</v>
      </c>
      <c r="M409" s="35">
        <f t="shared" si="109"/>
        <v>683193</v>
      </c>
      <c r="N409" s="35">
        <f t="shared" si="109"/>
        <v>46956</v>
      </c>
      <c r="O409" s="35">
        <f t="shared" si="109"/>
        <v>683193</v>
      </c>
      <c r="P409" s="35">
        <f t="shared" si="109"/>
        <v>46956</v>
      </c>
      <c r="Q409" s="41">
        <f>E409/C409</f>
        <v>4.5150023492629465</v>
      </c>
      <c r="R409" s="42">
        <f>M409/N409</f>
        <v>14.54964221824687</v>
      </c>
      <c r="S409" s="42">
        <f>K409/L409</f>
        <v>3.8284604146967665</v>
      </c>
    </row>
    <row r="411" spans="1:19" x14ac:dyDescent="0.25">
      <c r="A411" t="s">
        <v>230</v>
      </c>
      <c r="B411" s="36">
        <v>1</v>
      </c>
    </row>
    <row r="413" spans="1:19" x14ac:dyDescent="0.25">
      <c r="A413" s="29" t="s">
        <v>255</v>
      </c>
    </row>
    <row r="414" spans="1:19" ht="45" x14ac:dyDescent="0.25">
      <c r="A414" t="s">
        <v>314</v>
      </c>
      <c r="B414" s="43" t="s">
        <v>248</v>
      </c>
      <c r="C414" s="43" t="s">
        <v>233</v>
      </c>
      <c r="D414" s="43" t="s">
        <v>234</v>
      </c>
      <c r="E414" s="43" t="s">
        <v>235</v>
      </c>
      <c r="F414" s="43" t="s">
        <v>236</v>
      </c>
      <c r="G414" s="43" t="s">
        <v>237</v>
      </c>
      <c r="H414" s="43" t="s">
        <v>238</v>
      </c>
      <c r="I414" s="43" t="s">
        <v>239</v>
      </c>
      <c r="J414" s="43" t="s">
        <v>240</v>
      </c>
      <c r="K414" s="43" t="s">
        <v>241</v>
      </c>
      <c r="L414" s="43" t="s">
        <v>242</v>
      </c>
      <c r="M414" s="43" t="s">
        <v>243</v>
      </c>
      <c r="N414" s="43" t="s">
        <v>244</v>
      </c>
      <c r="O414" s="44" t="s">
        <v>245</v>
      </c>
      <c r="P414" s="44" t="s">
        <v>246</v>
      </c>
      <c r="Q414" s="40" t="s">
        <v>283</v>
      </c>
      <c r="R414" s="40" t="s">
        <v>282</v>
      </c>
      <c r="S414" s="40" t="s">
        <v>286</v>
      </c>
    </row>
    <row r="415" spans="1:19" ht="15.75" thickBot="1" x14ac:dyDescent="0.3">
      <c r="A415" s="55" t="s">
        <v>49</v>
      </c>
      <c r="B415" s="34" t="s">
        <v>210</v>
      </c>
      <c r="C415" s="35">
        <f t="shared" ref="C415:P415" si="110">IF(ISNUMBER(C409),$B411*C409,C409)</f>
        <v>683193</v>
      </c>
      <c r="D415" s="35">
        <f t="shared" si="110"/>
        <v>2050286.033565877</v>
      </c>
      <c r="E415" s="35">
        <f t="shared" si="110"/>
        <v>3084618</v>
      </c>
      <c r="F415" s="35">
        <f t="shared" si="110"/>
        <v>0</v>
      </c>
      <c r="G415" s="35">
        <f t="shared" si="110"/>
        <v>0</v>
      </c>
      <c r="H415" s="35">
        <f t="shared" si="110"/>
        <v>0</v>
      </c>
      <c r="I415" s="35">
        <f t="shared" si="110"/>
        <v>0</v>
      </c>
      <c r="J415" s="35" t="str">
        <f t="shared" si="110"/>
        <v>No</v>
      </c>
      <c r="K415" s="35">
        <f t="shared" si="110"/>
        <v>2050286.033565877</v>
      </c>
      <c r="L415" s="35">
        <f t="shared" si="110"/>
        <v>535538</v>
      </c>
      <c r="M415" s="35">
        <f t="shared" si="110"/>
        <v>683193</v>
      </c>
      <c r="N415" s="35">
        <f t="shared" si="110"/>
        <v>46956</v>
      </c>
      <c r="O415" s="35">
        <f t="shared" si="110"/>
        <v>683193</v>
      </c>
      <c r="P415" s="35">
        <f t="shared" si="110"/>
        <v>46956</v>
      </c>
      <c r="Q415" s="45">
        <f>E415/C415</f>
        <v>4.5150023492629465</v>
      </c>
      <c r="R415" s="46">
        <f>M415/N415</f>
        <v>14.54964221824687</v>
      </c>
      <c r="S415" s="37">
        <f>K415/L415</f>
        <v>3.8284604146967665</v>
      </c>
    </row>
    <row r="417" spans="1:19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</row>
    <row r="419" spans="1:19" x14ac:dyDescent="0.25">
      <c r="A419" s="26" t="s">
        <v>370</v>
      </c>
    </row>
    <row r="420" spans="1:19" x14ac:dyDescent="0.25">
      <c r="A420" s="29" t="s">
        <v>256</v>
      </c>
      <c r="B420" s="50" t="s">
        <v>57</v>
      </c>
      <c r="C420" t="s">
        <v>371</v>
      </c>
    </row>
    <row r="421" spans="1:19" ht="45" x14ac:dyDescent="0.25">
      <c r="A421" s="32" t="s">
        <v>247</v>
      </c>
      <c r="B421" s="32" t="s">
        <v>248</v>
      </c>
      <c r="C421" s="32" t="s">
        <v>233</v>
      </c>
      <c r="D421" s="32" t="s">
        <v>234</v>
      </c>
      <c r="E421" s="32" t="s">
        <v>235</v>
      </c>
      <c r="F421" s="32" t="s">
        <v>236</v>
      </c>
      <c r="G421" s="32" t="s">
        <v>237</v>
      </c>
      <c r="H421" s="32" t="s">
        <v>238</v>
      </c>
      <c r="I421" s="32" t="s">
        <v>239</v>
      </c>
      <c r="J421" s="32" t="s">
        <v>240</v>
      </c>
      <c r="K421" s="32" t="s">
        <v>241</v>
      </c>
      <c r="L421" s="32" t="s">
        <v>242</v>
      </c>
      <c r="M421" s="32" t="s">
        <v>243</v>
      </c>
      <c r="N421" s="32" t="s">
        <v>244</v>
      </c>
      <c r="O421" s="33" t="s">
        <v>245</v>
      </c>
      <c r="P421" s="33" t="s">
        <v>246</v>
      </c>
      <c r="Q421" s="40" t="s">
        <v>283</v>
      </c>
      <c r="R421" s="40" t="s">
        <v>282</v>
      </c>
      <c r="S421" s="40" t="s">
        <v>286</v>
      </c>
    </row>
    <row r="422" spans="1:19" x14ac:dyDescent="0.25">
      <c r="A422" t="s">
        <v>250</v>
      </c>
      <c r="B422" t="s">
        <v>251</v>
      </c>
      <c r="C422" s="2">
        <v>87298</v>
      </c>
      <c r="D422" s="2">
        <f>IF(C422=M422,K422,0)</f>
        <v>186402.74522826233</v>
      </c>
      <c r="E422" s="30">
        <v>545266</v>
      </c>
      <c r="F422" s="31">
        <v>0</v>
      </c>
      <c r="G422" s="2">
        <v>0</v>
      </c>
      <c r="H422" s="2">
        <v>0</v>
      </c>
      <c r="I422" s="30">
        <v>0</v>
      </c>
      <c r="J422" t="s">
        <v>252</v>
      </c>
      <c r="K422" s="2">
        <f>L422*VLOOKUP(A422,'APTL Reference'!$B$3:$E$21,4,FALSE)</f>
        <v>186402.74522826233</v>
      </c>
      <c r="L422" s="2">
        <v>19938</v>
      </c>
      <c r="M422" s="2">
        <v>87298</v>
      </c>
      <c r="N422" s="2">
        <v>8784</v>
      </c>
      <c r="O422" s="2">
        <f>M422</f>
        <v>87298</v>
      </c>
      <c r="P422" s="2">
        <f>N422</f>
        <v>8784</v>
      </c>
      <c r="Q422" s="41">
        <f>E422/C422</f>
        <v>6.24603083690348</v>
      </c>
      <c r="R422" s="42">
        <f>M422/N422</f>
        <v>9.9382969034608379</v>
      </c>
      <c r="S422" s="42">
        <f>K422/L422</f>
        <v>9.3491195319621987</v>
      </c>
    </row>
    <row r="423" spans="1:19" x14ac:dyDescent="0.25">
      <c r="C423" s="2"/>
      <c r="D423" s="2"/>
      <c r="E423" s="30"/>
      <c r="F423" s="31"/>
      <c r="G423" s="2"/>
      <c r="H423" s="2"/>
      <c r="I423" s="30"/>
      <c r="K423" s="2"/>
      <c r="L423" s="2"/>
      <c r="M423" s="2"/>
      <c r="N423" s="2"/>
      <c r="O423" s="2"/>
      <c r="P423" s="2"/>
      <c r="Q423" s="41"/>
      <c r="R423" s="42"/>
      <c r="S423" s="42"/>
    </row>
    <row r="424" spans="1:19" ht="15.75" thickBot="1" x14ac:dyDescent="0.3">
      <c r="A424" s="34" t="s">
        <v>210</v>
      </c>
      <c r="B424" s="34" t="s">
        <v>210</v>
      </c>
      <c r="C424" s="35">
        <f>SUM(C422:C423)</f>
        <v>87298</v>
      </c>
      <c r="D424" s="35">
        <f>SUM(D422:D423)</f>
        <v>186402.74522826233</v>
      </c>
      <c r="E424" s="35">
        <f t="shared" ref="E424:I424" si="111">SUM(E422:E423)</f>
        <v>545266</v>
      </c>
      <c r="F424" s="35">
        <f t="shared" si="111"/>
        <v>0</v>
      </c>
      <c r="G424" s="35">
        <f t="shared" si="111"/>
        <v>0</v>
      </c>
      <c r="H424" s="35">
        <f t="shared" si="111"/>
        <v>0</v>
      </c>
      <c r="I424" s="35">
        <f t="shared" si="111"/>
        <v>0</v>
      </c>
      <c r="J424" s="34" t="s">
        <v>252</v>
      </c>
      <c r="K424" s="35">
        <f>SUM(K422:K423)</f>
        <v>186402.74522826233</v>
      </c>
      <c r="L424" s="35">
        <f t="shared" ref="L424:P424" si="112">SUM(L422:L423)</f>
        <v>19938</v>
      </c>
      <c r="M424" s="35">
        <f t="shared" si="112"/>
        <v>87298</v>
      </c>
      <c r="N424" s="35">
        <f t="shared" si="112"/>
        <v>8784</v>
      </c>
      <c r="O424" s="35">
        <f t="shared" si="112"/>
        <v>87298</v>
      </c>
      <c r="P424" s="35">
        <f t="shared" si="112"/>
        <v>8784</v>
      </c>
      <c r="Q424" s="41">
        <f>E424/C424</f>
        <v>6.24603083690348</v>
      </c>
      <c r="R424" s="42">
        <f>M424/N424</f>
        <v>9.9382969034608379</v>
      </c>
      <c r="S424" s="42">
        <f>K424/L424</f>
        <v>9.3491195319621987</v>
      </c>
    </row>
    <row r="426" spans="1:19" x14ac:dyDescent="0.25">
      <c r="A426" t="s">
        <v>230</v>
      </c>
      <c r="B426" s="36">
        <v>1</v>
      </c>
    </row>
    <row r="428" spans="1:19" x14ac:dyDescent="0.25">
      <c r="A428" s="29" t="s">
        <v>255</v>
      </c>
    </row>
    <row r="429" spans="1:19" ht="45" x14ac:dyDescent="0.25">
      <c r="A429" t="s">
        <v>314</v>
      </c>
      <c r="B429" s="43" t="s">
        <v>248</v>
      </c>
      <c r="C429" s="43" t="s">
        <v>233</v>
      </c>
      <c r="D429" s="43" t="s">
        <v>234</v>
      </c>
      <c r="E429" s="43" t="s">
        <v>235</v>
      </c>
      <c r="F429" s="43" t="s">
        <v>236</v>
      </c>
      <c r="G429" s="43" t="s">
        <v>237</v>
      </c>
      <c r="H429" s="43" t="s">
        <v>238</v>
      </c>
      <c r="I429" s="43" t="s">
        <v>239</v>
      </c>
      <c r="J429" s="43" t="s">
        <v>240</v>
      </c>
      <c r="K429" s="43" t="s">
        <v>241</v>
      </c>
      <c r="L429" s="43" t="s">
        <v>242</v>
      </c>
      <c r="M429" s="43" t="s">
        <v>243</v>
      </c>
      <c r="N429" s="43" t="s">
        <v>244</v>
      </c>
      <c r="O429" s="44" t="s">
        <v>245</v>
      </c>
      <c r="P429" s="44" t="s">
        <v>246</v>
      </c>
      <c r="Q429" s="40" t="s">
        <v>283</v>
      </c>
      <c r="R429" s="40" t="s">
        <v>282</v>
      </c>
      <c r="S429" s="40" t="s">
        <v>286</v>
      </c>
    </row>
    <row r="430" spans="1:19" ht="15.75" thickBot="1" x14ac:dyDescent="0.3">
      <c r="A430" s="55" t="s">
        <v>55</v>
      </c>
      <c r="B430" s="34" t="s">
        <v>210</v>
      </c>
      <c r="C430" s="35">
        <f t="shared" ref="C430:P430" si="113">IF(ISNUMBER(C424),$B426*C424,C424)</f>
        <v>87298</v>
      </c>
      <c r="D430" s="35">
        <f t="shared" si="113"/>
        <v>186402.74522826233</v>
      </c>
      <c r="E430" s="35">
        <f t="shared" si="113"/>
        <v>545266</v>
      </c>
      <c r="F430" s="35">
        <f t="shared" si="113"/>
        <v>0</v>
      </c>
      <c r="G430" s="35">
        <f t="shared" si="113"/>
        <v>0</v>
      </c>
      <c r="H430" s="35">
        <f t="shared" si="113"/>
        <v>0</v>
      </c>
      <c r="I430" s="35">
        <f t="shared" si="113"/>
        <v>0</v>
      </c>
      <c r="J430" s="35" t="str">
        <f t="shared" si="113"/>
        <v>No</v>
      </c>
      <c r="K430" s="35">
        <f t="shared" si="113"/>
        <v>186402.74522826233</v>
      </c>
      <c r="L430" s="35">
        <f t="shared" si="113"/>
        <v>19938</v>
      </c>
      <c r="M430" s="35">
        <f t="shared" si="113"/>
        <v>87298</v>
      </c>
      <c r="N430" s="35">
        <f t="shared" si="113"/>
        <v>8784</v>
      </c>
      <c r="O430" s="35">
        <f t="shared" si="113"/>
        <v>87298</v>
      </c>
      <c r="P430" s="35">
        <f t="shared" si="113"/>
        <v>8784</v>
      </c>
      <c r="Q430" s="45">
        <f>E430/C430</f>
        <v>6.24603083690348</v>
      </c>
      <c r="R430" s="46">
        <f>M430/N430</f>
        <v>9.9382969034608379</v>
      </c>
      <c r="S430" s="37">
        <f>K430/L430</f>
        <v>9.3491195319621987</v>
      </c>
    </row>
    <row r="432" spans="1:19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</row>
    <row r="434" spans="1:19" x14ac:dyDescent="0.25">
      <c r="A434" s="26" t="s">
        <v>354</v>
      </c>
    </row>
    <row r="435" spans="1:19" x14ac:dyDescent="0.25">
      <c r="A435" s="29" t="s">
        <v>256</v>
      </c>
      <c r="B435" s="50"/>
    </row>
    <row r="436" spans="1:19" ht="45" x14ac:dyDescent="0.25">
      <c r="A436" s="32" t="s">
        <v>247</v>
      </c>
      <c r="B436" s="32" t="s">
        <v>248</v>
      </c>
      <c r="C436" s="32" t="s">
        <v>233</v>
      </c>
      <c r="D436" s="32" t="s">
        <v>234</v>
      </c>
      <c r="E436" s="32" t="s">
        <v>235</v>
      </c>
      <c r="F436" s="32" t="s">
        <v>236</v>
      </c>
      <c r="G436" s="32" t="s">
        <v>237</v>
      </c>
      <c r="H436" s="32" t="s">
        <v>238</v>
      </c>
      <c r="I436" s="32" t="s">
        <v>239</v>
      </c>
      <c r="J436" s="32" t="s">
        <v>240</v>
      </c>
      <c r="K436" s="32" t="s">
        <v>241</v>
      </c>
      <c r="L436" s="32" t="s">
        <v>242</v>
      </c>
      <c r="M436" s="32" t="s">
        <v>243</v>
      </c>
      <c r="N436" s="32" t="s">
        <v>244</v>
      </c>
      <c r="O436" s="33" t="s">
        <v>245</v>
      </c>
      <c r="P436" s="33" t="s">
        <v>246</v>
      </c>
      <c r="Q436" s="40" t="s">
        <v>283</v>
      </c>
      <c r="R436" s="40" t="s">
        <v>282</v>
      </c>
      <c r="S436" s="40" t="s">
        <v>286</v>
      </c>
    </row>
    <row r="437" spans="1:19" x14ac:dyDescent="0.25">
      <c r="C437" s="2"/>
      <c r="D437" s="2" t="e">
        <f>IF(C437=M437,K437,0)</f>
        <v>#N/A</v>
      </c>
      <c r="E437" s="30"/>
      <c r="F437" s="31"/>
      <c r="G437" s="2"/>
      <c r="H437" s="2"/>
      <c r="I437" s="30"/>
      <c r="J437" t="s">
        <v>252</v>
      </c>
      <c r="K437" s="2" t="e">
        <f>L437*VLOOKUP(A437,'APTL Reference'!$B$3:$E$21,4,FALSE)</f>
        <v>#N/A</v>
      </c>
      <c r="L437" s="2"/>
      <c r="M437" s="2"/>
      <c r="N437" s="2"/>
      <c r="O437" s="2">
        <f>M437</f>
        <v>0</v>
      </c>
      <c r="P437" s="2">
        <f>N437</f>
        <v>0</v>
      </c>
      <c r="Q437" s="41" t="e">
        <f>E437/C437</f>
        <v>#DIV/0!</v>
      </c>
      <c r="R437" s="42" t="e">
        <f>M437/N437</f>
        <v>#DIV/0!</v>
      </c>
      <c r="S437" s="42" t="e">
        <f>K437/L437</f>
        <v>#N/A</v>
      </c>
    </row>
    <row r="438" spans="1:19" x14ac:dyDescent="0.25">
      <c r="C438" s="2"/>
      <c r="D438" s="2" t="e">
        <f>IF(C438=M438,K438,0)</f>
        <v>#N/A</v>
      </c>
      <c r="E438" s="30"/>
      <c r="F438" s="31"/>
      <c r="G438" s="2"/>
      <c r="H438" s="2"/>
      <c r="I438" s="30"/>
      <c r="J438" t="s">
        <v>252</v>
      </c>
      <c r="K438" s="2" t="e">
        <f>L438*VLOOKUP(A438,'APTL Reference'!$B$3:$E$21,4,FALSE)</f>
        <v>#N/A</v>
      </c>
      <c r="L438" s="2"/>
      <c r="M438" s="2"/>
      <c r="N438" s="2"/>
      <c r="O438" s="2">
        <f>M438</f>
        <v>0</v>
      </c>
      <c r="P438" s="2">
        <f>N438</f>
        <v>0</v>
      </c>
      <c r="Q438" s="41" t="e">
        <f>E438/C438</f>
        <v>#DIV/0!</v>
      </c>
      <c r="R438" s="42" t="e">
        <f>M438/N438</f>
        <v>#DIV/0!</v>
      </c>
      <c r="S438" s="42" t="e">
        <f>K438/L438</f>
        <v>#N/A</v>
      </c>
    </row>
    <row r="439" spans="1:19" ht="15.75" thickBot="1" x14ac:dyDescent="0.3">
      <c r="A439" s="34" t="s">
        <v>210</v>
      </c>
      <c r="B439" s="34" t="s">
        <v>210</v>
      </c>
      <c r="C439" s="35">
        <f>SUM(C437:C438)</f>
        <v>0</v>
      </c>
      <c r="D439" s="35" t="e">
        <f>SUM(D437:D438)</f>
        <v>#N/A</v>
      </c>
      <c r="E439" s="35">
        <f t="shared" ref="E439:I439" si="114">SUM(E437:E438)</f>
        <v>0</v>
      </c>
      <c r="F439" s="35">
        <f t="shared" si="114"/>
        <v>0</v>
      </c>
      <c r="G439" s="35">
        <f t="shared" si="114"/>
        <v>0</v>
      </c>
      <c r="H439" s="35">
        <f t="shared" si="114"/>
        <v>0</v>
      </c>
      <c r="I439" s="35">
        <f t="shared" si="114"/>
        <v>0</v>
      </c>
      <c r="J439" s="34" t="s">
        <v>252</v>
      </c>
      <c r="K439" s="35" t="e">
        <f>SUM(K437:K438)</f>
        <v>#N/A</v>
      </c>
      <c r="L439" s="35">
        <f t="shared" ref="L439:P439" si="115">SUM(L437:L438)</f>
        <v>0</v>
      </c>
      <c r="M439" s="35">
        <f t="shared" si="115"/>
        <v>0</v>
      </c>
      <c r="N439" s="35">
        <f t="shared" si="115"/>
        <v>0</v>
      </c>
      <c r="O439" s="35">
        <f t="shared" si="115"/>
        <v>0</v>
      </c>
      <c r="P439" s="35">
        <f t="shared" si="115"/>
        <v>0</v>
      </c>
      <c r="Q439" s="41" t="e">
        <f>E439/C439</f>
        <v>#DIV/0!</v>
      </c>
      <c r="R439" s="42" t="e">
        <f>M439/N439</f>
        <v>#DIV/0!</v>
      </c>
      <c r="S439" s="42" t="e">
        <f>K439/L439</f>
        <v>#N/A</v>
      </c>
    </row>
    <row r="441" spans="1:19" x14ac:dyDescent="0.25">
      <c r="A441" t="s">
        <v>230</v>
      </c>
      <c r="B441" s="36">
        <v>1</v>
      </c>
    </row>
    <row r="443" spans="1:19" x14ac:dyDescent="0.25">
      <c r="A443" s="29" t="s">
        <v>255</v>
      </c>
    </row>
    <row r="444" spans="1:19" ht="45" x14ac:dyDescent="0.25">
      <c r="A444" t="s">
        <v>314</v>
      </c>
      <c r="B444" s="43" t="s">
        <v>248</v>
      </c>
      <c r="C444" s="43" t="s">
        <v>233</v>
      </c>
      <c r="D444" s="43" t="s">
        <v>234</v>
      </c>
      <c r="E444" s="43" t="s">
        <v>235</v>
      </c>
      <c r="F444" s="43" t="s">
        <v>236</v>
      </c>
      <c r="G444" s="43" t="s">
        <v>237</v>
      </c>
      <c r="H444" s="43" t="s">
        <v>238</v>
      </c>
      <c r="I444" s="43" t="s">
        <v>239</v>
      </c>
      <c r="J444" s="43" t="s">
        <v>240</v>
      </c>
      <c r="K444" s="43" t="s">
        <v>241</v>
      </c>
      <c r="L444" s="43" t="s">
        <v>242</v>
      </c>
      <c r="M444" s="43" t="s">
        <v>243</v>
      </c>
      <c r="N444" s="43" t="s">
        <v>244</v>
      </c>
      <c r="O444" s="44" t="s">
        <v>245</v>
      </c>
      <c r="P444" s="44" t="s">
        <v>246</v>
      </c>
      <c r="Q444" s="40" t="s">
        <v>283</v>
      </c>
      <c r="R444" s="40" t="s">
        <v>282</v>
      </c>
      <c r="S444" s="40" t="s">
        <v>286</v>
      </c>
    </row>
    <row r="445" spans="1:19" ht="15.75" thickBot="1" x14ac:dyDescent="0.3">
      <c r="A445" s="55"/>
      <c r="B445" s="34" t="s">
        <v>210</v>
      </c>
      <c r="C445" s="35">
        <f t="shared" ref="C445:P445" si="116">IF(ISNUMBER(C439),$B441*C439,C439)</f>
        <v>0</v>
      </c>
      <c r="D445" s="35" t="e">
        <f t="shared" si="116"/>
        <v>#N/A</v>
      </c>
      <c r="E445" s="35">
        <f t="shared" si="116"/>
        <v>0</v>
      </c>
      <c r="F445" s="35">
        <f t="shared" si="116"/>
        <v>0</v>
      </c>
      <c r="G445" s="35">
        <f t="shared" si="116"/>
        <v>0</v>
      </c>
      <c r="H445" s="35">
        <f t="shared" si="116"/>
        <v>0</v>
      </c>
      <c r="I445" s="35">
        <f t="shared" si="116"/>
        <v>0</v>
      </c>
      <c r="J445" s="35" t="str">
        <f t="shared" si="116"/>
        <v>No</v>
      </c>
      <c r="K445" s="35" t="e">
        <f t="shared" si="116"/>
        <v>#N/A</v>
      </c>
      <c r="L445" s="35">
        <f t="shared" si="116"/>
        <v>0</v>
      </c>
      <c r="M445" s="35">
        <f t="shared" si="116"/>
        <v>0</v>
      </c>
      <c r="N445" s="35">
        <f t="shared" si="116"/>
        <v>0</v>
      </c>
      <c r="O445" s="35">
        <f t="shared" si="116"/>
        <v>0</v>
      </c>
      <c r="P445" s="35">
        <f t="shared" si="116"/>
        <v>0</v>
      </c>
      <c r="Q445" s="45" t="e">
        <f>E445/C445</f>
        <v>#DIV/0!</v>
      </c>
      <c r="R445" s="46" t="e">
        <f>M445/N445</f>
        <v>#DIV/0!</v>
      </c>
      <c r="S445" s="37" t="e">
        <f>K445/L445</f>
        <v>#N/A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22AB1-A07F-428B-B734-1E3A96E3772F}">
  <dimension ref="A1:P26"/>
  <sheetViews>
    <sheetView workbookViewId="0">
      <selection activeCell="B12" sqref="B12"/>
    </sheetView>
  </sheetViews>
  <sheetFormatPr defaultRowHeight="15" x14ac:dyDescent="0.25"/>
  <cols>
    <col min="2" max="2" width="32.28515625" bestFit="1" customWidth="1"/>
    <col min="3" max="5" width="13" customWidth="1"/>
    <col min="6" max="6" width="11.42578125" customWidth="1"/>
    <col min="7" max="10" width="10.140625" customWidth="1"/>
    <col min="11" max="16" width="13.42578125" customWidth="1"/>
  </cols>
  <sheetData>
    <row r="1" spans="1:16" x14ac:dyDescent="0.25">
      <c r="A1" t="s">
        <v>425</v>
      </c>
    </row>
    <row r="3" spans="1:16" ht="59.25" customHeight="1" x14ac:dyDescent="0.25">
      <c r="A3" s="81" t="s">
        <v>58</v>
      </c>
      <c r="B3" s="81" t="s">
        <v>422</v>
      </c>
      <c r="C3" s="82" t="s">
        <v>372</v>
      </c>
      <c r="D3" s="81" t="s">
        <v>373</v>
      </c>
      <c r="E3" s="83" t="s">
        <v>374</v>
      </c>
      <c r="F3" s="81" t="s">
        <v>375</v>
      </c>
      <c r="G3" s="81" t="s">
        <v>376</v>
      </c>
      <c r="H3" s="81" t="s">
        <v>377</v>
      </c>
      <c r="I3" s="83" t="s">
        <v>378</v>
      </c>
      <c r="J3" s="81" t="s">
        <v>240</v>
      </c>
      <c r="K3" s="81" t="s">
        <v>379</v>
      </c>
      <c r="L3" s="81" t="s">
        <v>380</v>
      </c>
      <c r="M3" s="81" t="s">
        <v>61</v>
      </c>
      <c r="N3" s="81" t="s">
        <v>381</v>
      </c>
      <c r="O3" s="81" t="s">
        <v>382</v>
      </c>
      <c r="P3" s="81" t="s">
        <v>383</v>
      </c>
    </row>
    <row r="4" spans="1:16" x14ac:dyDescent="0.25">
      <c r="A4" t="s">
        <v>0</v>
      </c>
      <c r="B4" t="s">
        <v>1</v>
      </c>
      <c r="C4" s="2">
        <v>119114.69514065071</v>
      </c>
      <c r="D4" s="2">
        <v>916452.49101484485</v>
      </c>
      <c r="E4" s="30">
        <v>516057.73787950602</v>
      </c>
      <c r="F4" s="2">
        <v>0</v>
      </c>
      <c r="G4" s="2">
        <v>0</v>
      </c>
      <c r="H4" s="2">
        <v>0</v>
      </c>
      <c r="I4" s="30">
        <v>0</v>
      </c>
      <c r="J4" s="2" t="s">
        <v>252</v>
      </c>
      <c r="K4" s="2">
        <v>916452.49101484485</v>
      </c>
      <c r="L4" s="2">
        <v>44716.537957567816</v>
      </c>
      <c r="M4" s="2">
        <v>119114.69514065071</v>
      </c>
      <c r="N4" s="2">
        <v>5885.1306141793757</v>
      </c>
      <c r="O4" s="2">
        <v>119114.69514065071</v>
      </c>
      <c r="P4" s="2">
        <v>5885.1306141793757</v>
      </c>
    </row>
    <row r="5" spans="1:16" x14ac:dyDescent="0.25">
      <c r="A5" t="s">
        <v>2</v>
      </c>
      <c r="B5" t="s">
        <v>3</v>
      </c>
      <c r="C5" s="2">
        <v>656500</v>
      </c>
      <c r="D5" s="2">
        <v>1615305.3142981296</v>
      </c>
      <c r="E5" s="30">
        <v>1878483</v>
      </c>
      <c r="F5">
        <v>0</v>
      </c>
      <c r="G5">
        <v>0</v>
      </c>
      <c r="H5">
        <v>0</v>
      </c>
      <c r="I5" s="30">
        <v>0</v>
      </c>
      <c r="J5" t="s">
        <v>252</v>
      </c>
      <c r="K5" s="2">
        <v>1615305.3142981296</v>
      </c>
      <c r="L5" s="2">
        <v>306876</v>
      </c>
      <c r="M5" s="2">
        <v>656500</v>
      </c>
      <c r="N5" s="2">
        <v>56645</v>
      </c>
      <c r="O5" s="2">
        <v>656500</v>
      </c>
      <c r="P5" s="2">
        <v>56645</v>
      </c>
    </row>
    <row r="6" spans="1:16" x14ac:dyDescent="0.25">
      <c r="A6" t="s">
        <v>5</v>
      </c>
      <c r="B6" t="s">
        <v>6</v>
      </c>
      <c r="C6" s="2">
        <v>291983</v>
      </c>
      <c r="D6" s="2">
        <v>702422.18666760356</v>
      </c>
      <c r="E6" s="30">
        <v>1207015</v>
      </c>
      <c r="F6">
        <v>0</v>
      </c>
      <c r="G6">
        <v>0</v>
      </c>
      <c r="H6">
        <v>0</v>
      </c>
      <c r="I6" s="30">
        <v>0</v>
      </c>
      <c r="J6" t="s">
        <v>252</v>
      </c>
      <c r="K6" s="2">
        <v>702422.18666760356</v>
      </c>
      <c r="L6" s="2">
        <v>171034</v>
      </c>
      <c r="M6" s="2">
        <v>291983</v>
      </c>
      <c r="N6" s="2">
        <v>18596</v>
      </c>
      <c r="O6" s="2">
        <v>291983</v>
      </c>
      <c r="P6" s="2">
        <v>18596</v>
      </c>
    </row>
    <row r="7" spans="1:16" x14ac:dyDescent="0.25">
      <c r="A7" t="s">
        <v>8</v>
      </c>
      <c r="B7" t="s">
        <v>9</v>
      </c>
      <c r="C7" s="2">
        <v>409008.07264820038</v>
      </c>
      <c r="D7" s="2">
        <v>240650.48864892282</v>
      </c>
      <c r="E7" s="30">
        <v>784694.64208255173</v>
      </c>
      <c r="F7" s="2">
        <v>0</v>
      </c>
      <c r="G7" s="2">
        <v>0</v>
      </c>
      <c r="H7" s="2">
        <v>0</v>
      </c>
      <c r="I7" s="30">
        <v>0</v>
      </c>
      <c r="J7" s="2" t="s">
        <v>252</v>
      </c>
      <c r="K7" s="2">
        <v>240650.48864892282</v>
      </c>
      <c r="L7" s="2">
        <v>32047.089508937373</v>
      </c>
      <c r="M7" s="2">
        <v>409008.07264820038</v>
      </c>
      <c r="N7" s="2">
        <v>17106.916113186075</v>
      </c>
      <c r="O7" s="2">
        <v>409008.07264820038</v>
      </c>
      <c r="P7" s="2">
        <v>17106.916113186075</v>
      </c>
    </row>
    <row r="8" spans="1:16" x14ac:dyDescent="0.25">
      <c r="A8" t="s">
        <v>11</v>
      </c>
      <c r="B8" t="s">
        <v>12</v>
      </c>
      <c r="C8" s="2">
        <v>394674.13812237198</v>
      </c>
      <c r="D8" s="2">
        <v>477100.67688305757</v>
      </c>
      <c r="E8" s="30">
        <v>1112646.6087497782</v>
      </c>
      <c r="F8" s="2">
        <v>0</v>
      </c>
      <c r="G8" s="2">
        <v>0</v>
      </c>
      <c r="H8" s="2">
        <v>0</v>
      </c>
      <c r="I8" s="30">
        <v>0</v>
      </c>
      <c r="J8" s="2" t="s">
        <v>252</v>
      </c>
      <c r="K8" s="2">
        <v>477100.67688305757</v>
      </c>
      <c r="L8" s="2">
        <v>51031.615891953785</v>
      </c>
      <c r="M8" s="2">
        <v>394674.13812237198</v>
      </c>
      <c r="N8" s="2">
        <v>19599.745092381858</v>
      </c>
      <c r="O8" s="2">
        <v>394674.13812237198</v>
      </c>
      <c r="P8" s="2">
        <v>19599.745092381858</v>
      </c>
    </row>
    <row r="9" spans="1:16" x14ac:dyDescent="0.25">
      <c r="A9" t="s">
        <v>14</v>
      </c>
      <c r="B9" t="s">
        <v>15</v>
      </c>
      <c r="C9" s="2">
        <v>243349</v>
      </c>
      <c r="D9" s="2">
        <v>501776.59439994319</v>
      </c>
      <c r="E9" s="30">
        <v>646856</v>
      </c>
      <c r="F9">
        <v>0</v>
      </c>
      <c r="G9">
        <v>0</v>
      </c>
      <c r="H9">
        <v>0</v>
      </c>
      <c r="I9" s="30">
        <v>0</v>
      </c>
      <c r="J9" t="s">
        <v>252</v>
      </c>
      <c r="K9" s="2">
        <v>501776.59439994319</v>
      </c>
      <c r="L9" s="2">
        <v>53671</v>
      </c>
      <c r="M9" s="2">
        <v>243349</v>
      </c>
      <c r="N9" s="2">
        <v>17951</v>
      </c>
      <c r="O9" s="2">
        <v>243349</v>
      </c>
      <c r="P9" s="2">
        <v>17951</v>
      </c>
    </row>
    <row r="10" spans="1:16" x14ac:dyDescent="0.25">
      <c r="A10" t="s">
        <v>19</v>
      </c>
      <c r="B10" t="s">
        <v>20</v>
      </c>
      <c r="C10" s="2">
        <v>724369.39552286954</v>
      </c>
      <c r="D10" s="2">
        <v>4835442.2959366022</v>
      </c>
      <c r="E10" s="30">
        <v>2785610.10952147</v>
      </c>
      <c r="F10" s="2">
        <v>0</v>
      </c>
      <c r="G10" s="2">
        <v>0</v>
      </c>
      <c r="H10" s="2">
        <v>0</v>
      </c>
      <c r="I10" s="30">
        <v>0</v>
      </c>
      <c r="J10" s="2" t="s">
        <v>252</v>
      </c>
      <c r="K10" s="2">
        <v>4835442.2959366022</v>
      </c>
      <c r="L10" s="2">
        <v>227835.67313275076</v>
      </c>
      <c r="M10" s="2">
        <v>724369.39552286954</v>
      </c>
      <c r="N10" s="2">
        <v>39159.508319562512</v>
      </c>
      <c r="O10" s="2">
        <v>724369.39552286954</v>
      </c>
      <c r="P10" s="2">
        <v>39159.508319562512</v>
      </c>
    </row>
    <row r="11" spans="1:16" x14ac:dyDescent="0.25">
      <c r="A11" t="s">
        <v>22</v>
      </c>
      <c r="B11" t="s">
        <v>23</v>
      </c>
      <c r="C11" s="2">
        <v>401139.52563932684</v>
      </c>
      <c r="D11" s="2">
        <v>1296139.7431780903</v>
      </c>
      <c r="E11" s="30">
        <v>1495540.4465350469</v>
      </c>
      <c r="F11">
        <v>0</v>
      </c>
      <c r="G11">
        <v>0</v>
      </c>
      <c r="H11">
        <v>0</v>
      </c>
      <c r="I11" s="30">
        <v>0</v>
      </c>
      <c r="J11" t="s">
        <v>252</v>
      </c>
      <c r="K11" s="2">
        <v>1296139.7431780903</v>
      </c>
      <c r="L11" s="2">
        <v>102235.98780972572</v>
      </c>
      <c r="M11" s="2">
        <v>401139.52563932684</v>
      </c>
      <c r="N11" s="2">
        <v>24490.691665562474</v>
      </c>
      <c r="O11" s="2">
        <v>401139.52563932684</v>
      </c>
      <c r="P11" s="2">
        <v>24490.691665562474</v>
      </c>
    </row>
    <row r="12" spans="1:16" x14ac:dyDescent="0.25">
      <c r="A12" t="s">
        <v>25</v>
      </c>
      <c r="B12" t="s">
        <v>26</v>
      </c>
      <c r="C12" s="2">
        <v>443272.91342762881</v>
      </c>
      <c r="D12" s="2">
        <v>280467.43534695392</v>
      </c>
      <c r="E12" s="30">
        <v>1383187.023624436</v>
      </c>
      <c r="F12">
        <v>0</v>
      </c>
      <c r="G12">
        <v>0</v>
      </c>
      <c r="H12">
        <v>0</v>
      </c>
      <c r="I12" s="30">
        <v>0</v>
      </c>
      <c r="J12" t="s">
        <v>252</v>
      </c>
      <c r="K12" s="2">
        <v>280467.43534695392</v>
      </c>
      <c r="L12" s="2">
        <v>58811.762921390924</v>
      </c>
      <c r="M12" s="2">
        <v>443272.91342762881</v>
      </c>
      <c r="N12" s="2">
        <v>17086.951575594401</v>
      </c>
      <c r="O12" s="2">
        <v>443272.91342762881</v>
      </c>
      <c r="P12" s="2">
        <v>17086.951575594401</v>
      </c>
    </row>
    <row r="13" spans="1:16" x14ac:dyDescent="0.25">
      <c r="A13" t="s">
        <v>28</v>
      </c>
      <c r="B13" t="s">
        <v>29</v>
      </c>
      <c r="C13" s="2">
        <v>46498</v>
      </c>
      <c r="D13" s="2">
        <v>30171.722570541107</v>
      </c>
      <c r="E13" s="30">
        <v>322839</v>
      </c>
      <c r="F13">
        <v>0</v>
      </c>
      <c r="G13">
        <v>0</v>
      </c>
      <c r="H13">
        <v>0</v>
      </c>
      <c r="I13" s="30">
        <v>0</v>
      </c>
      <c r="J13" t="s">
        <v>252</v>
      </c>
      <c r="K13" s="2">
        <v>30171.722570541107</v>
      </c>
      <c r="L13" s="2">
        <v>4601</v>
      </c>
      <c r="M13" s="2">
        <v>46498</v>
      </c>
      <c r="N13" s="2">
        <v>4455</v>
      </c>
      <c r="O13" s="2">
        <v>46498</v>
      </c>
      <c r="P13" s="2">
        <v>4455</v>
      </c>
    </row>
    <row r="14" spans="1:16" x14ac:dyDescent="0.25">
      <c r="A14" t="s">
        <v>31</v>
      </c>
      <c r="B14" t="s">
        <v>32</v>
      </c>
      <c r="C14" s="2">
        <v>159440</v>
      </c>
      <c r="D14" s="2">
        <v>325922.67573077045</v>
      </c>
      <c r="E14" s="30">
        <v>999556</v>
      </c>
      <c r="F14">
        <v>0</v>
      </c>
      <c r="G14">
        <v>0</v>
      </c>
      <c r="H14">
        <v>0</v>
      </c>
      <c r="I14" s="30">
        <v>0</v>
      </c>
      <c r="J14" t="s">
        <v>252</v>
      </c>
      <c r="K14" s="2">
        <v>325922.67573077045</v>
      </c>
      <c r="L14" s="2">
        <v>87361</v>
      </c>
      <c r="M14" s="2">
        <v>159440</v>
      </c>
      <c r="N14" s="2">
        <v>11327</v>
      </c>
      <c r="O14" s="2">
        <v>159440</v>
      </c>
      <c r="P14" s="2">
        <v>11327</v>
      </c>
    </row>
    <row r="15" spans="1:16" x14ac:dyDescent="0.25">
      <c r="A15" t="s">
        <v>34</v>
      </c>
      <c r="B15" t="s">
        <v>35</v>
      </c>
      <c r="C15" s="2">
        <v>517410</v>
      </c>
      <c r="D15" s="2">
        <v>569920.69445382827</v>
      </c>
      <c r="E15" s="30">
        <v>1059713</v>
      </c>
      <c r="F15">
        <v>0</v>
      </c>
      <c r="G15">
        <v>0</v>
      </c>
      <c r="H15">
        <v>0</v>
      </c>
      <c r="I15" s="30">
        <v>0</v>
      </c>
      <c r="J15" t="s">
        <v>252</v>
      </c>
      <c r="K15" s="2">
        <v>569920.69445382827</v>
      </c>
      <c r="L15" s="2">
        <v>66884</v>
      </c>
      <c r="M15" s="2">
        <v>517410</v>
      </c>
      <c r="N15" s="2">
        <v>26939</v>
      </c>
      <c r="O15" s="2">
        <v>517410</v>
      </c>
      <c r="P15" s="2">
        <v>26939</v>
      </c>
    </row>
    <row r="16" spans="1:16" x14ac:dyDescent="0.25">
      <c r="A16" t="s">
        <v>37</v>
      </c>
      <c r="B16" t="s">
        <v>38</v>
      </c>
      <c r="C16" s="2">
        <v>336526.87333953514</v>
      </c>
      <c r="D16" s="2">
        <v>222791.73037974935</v>
      </c>
      <c r="E16" s="30">
        <v>561671.23425439361</v>
      </c>
      <c r="F16">
        <v>0</v>
      </c>
      <c r="G16">
        <v>0</v>
      </c>
      <c r="H16">
        <v>0</v>
      </c>
      <c r="I16" s="30">
        <v>0</v>
      </c>
      <c r="J16" t="s">
        <v>252</v>
      </c>
      <c r="K16" s="2">
        <v>222791.73037974935</v>
      </c>
      <c r="L16" s="2">
        <v>23830.236592663365</v>
      </c>
      <c r="M16" s="2">
        <v>336526.87333953514</v>
      </c>
      <c r="N16" s="2">
        <v>17608.260210025226</v>
      </c>
      <c r="O16" s="2">
        <v>336526.87333953514</v>
      </c>
      <c r="P16" s="2">
        <v>17608.260210025226</v>
      </c>
    </row>
    <row r="17" spans="1:16" x14ac:dyDescent="0.25">
      <c r="A17" t="s">
        <v>42</v>
      </c>
      <c r="B17" t="s">
        <v>43</v>
      </c>
      <c r="C17" s="2">
        <v>199587</v>
      </c>
      <c r="D17" s="2">
        <v>228440.47425563022</v>
      </c>
      <c r="E17" s="30">
        <v>920738</v>
      </c>
      <c r="F17">
        <v>0</v>
      </c>
      <c r="G17">
        <v>0</v>
      </c>
      <c r="H17">
        <v>0</v>
      </c>
      <c r="I17" s="30">
        <v>0</v>
      </c>
      <c r="J17" t="s">
        <v>252</v>
      </c>
      <c r="K17" s="2">
        <v>228440.47425563022</v>
      </c>
      <c r="L17" s="2">
        <v>36165</v>
      </c>
      <c r="M17" s="2">
        <v>199587</v>
      </c>
      <c r="N17" s="2">
        <v>14955</v>
      </c>
      <c r="O17" s="2">
        <v>199587</v>
      </c>
      <c r="P17" s="2">
        <v>14955</v>
      </c>
    </row>
    <row r="18" spans="1:16" x14ac:dyDescent="0.25">
      <c r="A18" t="s">
        <v>45</v>
      </c>
      <c r="B18" t="s">
        <v>46</v>
      </c>
      <c r="C18" s="2">
        <v>111281.30767756827</v>
      </c>
      <c r="D18" s="2">
        <v>294481.23042054672</v>
      </c>
      <c r="E18" s="30">
        <v>351257.68209276063</v>
      </c>
      <c r="F18">
        <v>0</v>
      </c>
      <c r="G18">
        <v>0</v>
      </c>
      <c r="H18">
        <v>0</v>
      </c>
      <c r="I18" s="30">
        <v>0</v>
      </c>
      <c r="J18" t="s">
        <v>252</v>
      </c>
      <c r="K18" s="2">
        <v>294481.23042054672</v>
      </c>
      <c r="L18" s="2">
        <v>22821.118768182194</v>
      </c>
      <c r="M18" s="2">
        <v>111281.30767756827</v>
      </c>
      <c r="N18" s="2">
        <v>4558.9892276031942</v>
      </c>
      <c r="O18" s="2">
        <v>111281.30767756827</v>
      </c>
      <c r="P18" s="2">
        <v>4558.9892276031942</v>
      </c>
    </row>
    <row r="19" spans="1:16" x14ac:dyDescent="0.25">
      <c r="A19" t="s">
        <v>47</v>
      </c>
      <c r="B19" t="s">
        <v>48</v>
      </c>
      <c r="C19" s="2">
        <v>324187</v>
      </c>
      <c r="D19" s="2">
        <v>640013.97873954976</v>
      </c>
      <c r="E19" s="30">
        <v>1223473</v>
      </c>
      <c r="F19">
        <v>0</v>
      </c>
      <c r="G19">
        <v>0</v>
      </c>
      <c r="H19">
        <v>0</v>
      </c>
      <c r="I19" s="30">
        <v>0</v>
      </c>
      <c r="J19" t="s">
        <v>252</v>
      </c>
      <c r="K19" s="2">
        <v>640013.97873954976</v>
      </c>
      <c r="L19" s="2">
        <v>163792</v>
      </c>
      <c r="M19" s="2">
        <v>324187</v>
      </c>
      <c r="N19" s="2">
        <v>30063</v>
      </c>
      <c r="O19" s="2">
        <v>324187</v>
      </c>
      <c r="P19" s="2">
        <v>30063</v>
      </c>
    </row>
    <row r="20" spans="1:16" x14ac:dyDescent="0.25">
      <c r="A20" t="s">
        <v>49</v>
      </c>
      <c r="B20" t="s">
        <v>50</v>
      </c>
      <c r="C20" s="2">
        <v>683193</v>
      </c>
      <c r="D20" s="2">
        <v>2050286.033565877</v>
      </c>
      <c r="E20" s="30">
        <v>3084618</v>
      </c>
      <c r="F20">
        <v>0</v>
      </c>
      <c r="G20">
        <v>0</v>
      </c>
      <c r="H20">
        <v>0</v>
      </c>
      <c r="I20" s="30">
        <v>0</v>
      </c>
      <c r="J20" t="s">
        <v>252</v>
      </c>
      <c r="K20" s="2">
        <v>2050286.033565877</v>
      </c>
      <c r="L20" s="2">
        <v>535538</v>
      </c>
      <c r="M20" s="2">
        <v>683193</v>
      </c>
      <c r="N20" s="2">
        <v>46956</v>
      </c>
      <c r="O20" s="2">
        <v>683193</v>
      </c>
      <c r="P20" s="2">
        <v>46956</v>
      </c>
    </row>
    <row r="21" spans="1:16" x14ac:dyDescent="0.25">
      <c r="A21" t="s">
        <v>52</v>
      </c>
      <c r="B21" t="s">
        <v>53</v>
      </c>
      <c r="C21" s="2">
        <v>942221.10859334143</v>
      </c>
      <c r="D21" s="2">
        <v>1134431.5055644813</v>
      </c>
      <c r="E21" s="30">
        <v>3422462.5239672302</v>
      </c>
      <c r="F21">
        <v>0</v>
      </c>
      <c r="G21">
        <v>0</v>
      </c>
      <c r="H21">
        <v>0</v>
      </c>
      <c r="I21" s="30">
        <v>0</v>
      </c>
      <c r="J21" t="s">
        <v>252</v>
      </c>
      <c r="K21" s="2">
        <v>1134431.5055644813</v>
      </c>
      <c r="L21" s="2">
        <v>232119.13892278195</v>
      </c>
      <c r="M21" s="2">
        <v>942221.10859334143</v>
      </c>
      <c r="N21" s="2">
        <v>63826.041485096743</v>
      </c>
      <c r="O21" s="2">
        <v>942221.10859334143</v>
      </c>
      <c r="P21" s="2">
        <v>63826.041485096743</v>
      </c>
    </row>
    <row r="22" spans="1:16" x14ac:dyDescent="0.25">
      <c r="A22" t="s">
        <v>55</v>
      </c>
      <c r="B22" t="s">
        <v>56</v>
      </c>
      <c r="C22" s="2">
        <v>87298</v>
      </c>
      <c r="D22" s="2">
        <v>186402.74522826233</v>
      </c>
      <c r="E22" s="30">
        <v>545266</v>
      </c>
      <c r="F22">
        <v>0</v>
      </c>
      <c r="G22">
        <v>0</v>
      </c>
      <c r="H22">
        <v>0</v>
      </c>
      <c r="I22" s="30">
        <v>0</v>
      </c>
      <c r="J22" t="s">
        <v>252</v>
      </c>
      <c r="K22" s="2">
        <v>186402.74522826233</v>
      </c>
      <c r="L22" s="2">
        <v>19938</v>
      </c>
      <c r="M22" s="2">
        <v>87298</v>
      </c>
      <c r="N22" s="2">
        <v>8784</v>
      </c>
      <c r="O22" s="2">
        <v>87298</v>
      </c>
      <c r="P22" s="2">
        <v>8784</v>
      </c>
    </row>
    <row r="23" spans="1:16" x14ac:dyDescent="0.25">
      <c r="E23" s="30"/>
    </row>
    <row r="24" spans="1:16" x14ac:dyDescent="0.25">
      <c r="A24" s="26" t="s">
        <v>426</v>
      </c>
      <c r="E24" s="30"/>
    </row>
    <row r="25" spans="1:16" x14ac:dyDescent="0.25">
      <c r="A25" t="s">
        <v>17</v>
      </c>
      <c r="B25" t="s">
        <v>18</v>
      </c>
      <c r="C25" s="2">
        <f>AVERAGE(C$4:C$22)</f>
        <v>373213.31737428904</v>
      </c>
      <c r="D25" s="2">
        <f t="shared" ref="D25:H26" si="0">AVERAGE(D$4:D$22)</f>
        <v>870980.00090965175</v>
      </c>
      <c r="E25" s="30">
        <f t="shared" si="0"/>
        <v>1279036.053089851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2">
        <f>AVERAGE(I$4:I$22)</f>
        <v>0</v>
      </c>
      <c r="J25" t="s">
        <v>252</v>
      </c>
      <c r="K25" s="2">
        <f>AVERAGE(K$4:K$22)</f>
        <v>870980.00090965175</v>
      </c>
      <c r="L25" s="2">
        <f t="shared" ref="L25:P26" si="1">AVERAGE(L$4:L$22)</f>
        <v>117963.64007926073</v>
      </c>
      <c r="M25" s="2">
        <f t="shared" si="1"/>
        <v>373213.31737428904</v>
      </c>
      <c r="N25" s="2">
        <f t="shared" si="1"/>
        <v>23473.328121220624</v>
      </c>
      <c r="O25" s="2">
        <f t="shared" si="1"/>
        <v>373213.31737428904</v>
      </c>
      <c r="P25" s="2">
        <f t="shared" si="1"/>
        <v>23473.328121220624</v>
      </c>
    </row>
    <row r="26" spans="1:16" x14ac:dyDescent="0.25">
      <c r="A26" t="s">
        <v>40</v>
      </c>
      <c r="B26" t="s">
        <v>41</v>
      </c>
      <c r="C26" s="2">
        <f>AVERAGE(C$4:C$22)</f>
        <v>373213.31737428904</v>
      </c>
      <c r="D26" s="2">
        <f t="shared" si="0"/>
        <v>870980.00090965175</v>
      </c>
      <c r="E26" s="30">
        <f t="shared" si="0"/>
        <v>1279036.053089851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2">
        <f>AVERAGE(I$4:I$22)</f>
        <v>0</v>
      </c>
      <c r="J26" t="s">
        <v>252</v>
      </c>
      <c r="K26" s="2">
        <f>AVERAGE(K$4:K$22)</f>
        <v>870980.00090965175</v>
      </c>
      <c r="L26" s="2">
        <f t="shared" si="1"/>
        <v>117963.64007926073</v>
      </c>
      <c r="M26" s="2">
        <f t="shared" si="1"/>
        <v>373213.31737428904</v>
      </c>
      <c r="N26" s="2">
        <f t="shared" si="1"/>
        <v>23473.328121220624</v>
      </c>
      <c r="O26" s="2">
        <f t="shared" si="1"/>
        <v>373213.31737428904</v>
      </c>
      <c r="P26" s="2">
        <f t="shared" si="1"/>
        <v>23473.328121220624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7BF14-296E-4855-92AA-B86D47596989}">
  <dimension ref="A1:F35"/>
  <sheetViews>
    <sheetView workbookViewId="0">
      <selection activeCell="L4" sqref="L4"/>
    </sheetView>
  </sheetViews>
  <sheetFormatPr defaultRowHeight="15" x14ac:dyDescent="0.25"/>
  <cols>
    <col min="2" max="2" width="28" customWidth="1"/>
    <col min="3" max="3" width="16.42578125" customWidth="1"/>
    <col min="4" max="4" width="29.7109375" customWidth="1"/>
    <col min="5" max="5" width="13.5703125" customWidth="1"/>
  </cols>
  <sheetData>
    <row r="1" spans="1:6" x14ac:dyDescent="0.25">
      <c r="A1" s="113" t="s">
        <v>199</v>
      </c>
      <c r="B1" s="113"/>
      <c r="C1" s="113"/>
      <c r="D1" s="113"/>
      <c r="E1" s="113"/>
      <c r="F1" s="113"/>
    </row>
    <row r="2" spans="1:6" ht="30" x14ac:dyDescent="0.25">
      <c r="A2" s="76" t="s">
        <v>58</v>
      </c>
      <c r="B2" s="77" t="s">
        <v>59</v>
      </c>
      <c r="C2" s="78" t="s">
        <v>61</v>
      </c>
      <c r="D2" s="79" t="s">
        <v>62</v>
      </c>
      <c r="E2" s="15"/>
    </row>
    <row r="3" spans="1:6" x14ac:dyDescent="0.25">
      <c r="A3" s="22" t="s">
        <v>185</v>
      </c>
      <c r="B3" t="s">
        <v>186</v>
      </c>
      <c r="C3" s="25">
        <v>277848</v>
      </c>
      <c r="D3" t="str">
        <f>RIGHT(B3,LEN(B3)-FIND(",",B3)-1)</f>
        <v>MD--WV--PA</v>
      </c>
    </row>
    <row r="4" spans="1:6" x14ac:dyDescent="0.25">
      <c r="A4" s="22" t="s">
        <v>187</v>
      </c>
      <c r="B4" t="s">
        <v>188</v>
      </c>
      <c r="C4" s="25">
        <v>630146</v>
      </c>
      <c r="D4" t="str">
        <f t="shared" ref="D4:D9" si="0">RIGHT(B4,LEN(B4)-FIND(",",B4)-1)</f>
        <v>IL--IN</v>
      </c>
    </row>
    <row r="5" spans="1:6" x14ac:dyDescent="0.25">
      <c r="A5" s="22" t="s">
        <v>189</v>
      </c>
      <c r="B5" t="s">
        <v>190</v>
      </c>
      <c r="C5" s="25">
        <v>54569</v>
      </c>
      <c r="D5" t="str">
        <f t="shared" si="0"/>
        <v>MS</v>
      </c>
    </row>
    <row r="6" spans="1:6" x14ac:dyDescent="0.25">
      <c r="A6" s="22" t="s">
        <v>191</v>
      </c>
      <c r="B6" t="s">
        <v>192</v>
      </c>
      <c r="C6" s="25">
        <v>224530</v>
      </c>
      <c r="D6" t="str">
        <f t="shared" si="0"/>
        <v>AR</v>
      </c>
    </row>
    <row r="7" spans="1:6" x14ac:dyDescent="0.25">
      <c r="A7" s="22" t="s">
        <v>193</v>
      </c>
      <c r="B7" t="s">
        <v>194</v>
      </c>
      <c r="C7" s="25">
        <v>171030</v>
      </c>
      <c r="D7" t="str">
        <f t="shared" si="0"/>
        <v>AZ</v>
      </c>
    </row>
    <row r="8" spans="1:6" x14ac:dyDescent="0.25">
      <c r="A8" s="22" t="s">
        <v>195</v>
      </c>
      <c r="B8" t="s">
        <v>196</v>
      </c>
      <c r="C8" s="25">
        <v>1257994</v>
      </c>
      <c r="D8" t="str">
        <f t="shared" si="0"/>
        <v>PA</v>
      </c>
    </row>
    <row r="9" spans="1:6" x14ac:dyDescent="0.25">
      <c r="A9" s="22" t="s">
        <v>197</v>
      </c>
      <c r="B9" t="s">
        <v>198</v>
      </c>
      <c r="C9" s="25">
        <v>528725</v>
      </c>
      <c r="D9" t="str">
        <f t="shared" si="0"/>
        <v>NJ</v>
      </c>
    </row>
    <row r="10" spans="1:6" x14ac:dyDescent="0.25">
      <c r="C10">
        <f>SUM(C3:C9)</f>
        <v>3144842</v>
      </c>
    </row>
    <row r="12" spans="1:6" x14ac:dyDescent="0.25">
      <c r="A12" s="113" t="s">
        <v>205</v>
      </c>
      <c r="B12" s="113"/>
      <c r="C12" s="113"/>
      <c r="D12" s="113"/>
      <c r="E12" s="113"/>
      <c r="F12" s="113"/>
    </row>
    <row r="13" spans="1:6" x14ac:dyDescent="0.25">
      <c r="A13" s="86" t="s">
        <v>200</v>
      </c>
      <c r="B13" s="86" t="s">
        <v>201</v>
      </c>
      <c r="C13" s="86" t="s">
        <v>202</v>
      </c>
      <c r="D13" s="86" t="s">
        <v>203</v>
      </c>
      <c r="E13" s="86" t="s">
        <v>204</v>
      </c>
      <c r="F13" s="86" t="s">
        <v>416</v>
      </c>
    </row>
    <row r="14" spans="1:6" x14ac:dyDescent="0.25">
      <c r="A14" s="21" t="s">
        <v>113</v>
      </c>
      <c r="B14" s="21" t="s">
        <v>114</v>
      </c>
      <c r="C14" s="21" t="s">
        <v>185</v>
      </c>
      <c r="D14" t="s">
        <v>186</v>
      </c>
      <c r="E14" t="s">
        <v>68</v>
      </c>
      <c r="F14">
        <v>49619</v>
      </c>
    </row>
    <row r="15" spans="1:6" x14ac:dyDescent="0.25">
      <c r="A15" s="21" t="s">
        <v>147</v>
      </c>
      <c r="B15" s="21" t="s">
        <v>148</v>
      </c>
      <c r="C15" s="21" t="s">
        <v>185</v>
      </c>
      <c r="D15" t="s">
        <v>186</v>
      </c>
      <c r="E15" t="s">
        <v>68</v>
      </c>
      <c r="F15">
        <v>31</v>
      </c>
    </row>
    <row r="16" spans="1:6" x14ac:dyDescent="0.25">
      <c r="A16" s="21" t="s">
        <v>167</v>
      </c>
      <c r="B16" s="21" t="s">
        <v>168</v>
      </c>
      <c r="C16" s="21" t="s">
        <v>185</v>
      </c>
      <c r="D16" t="s">
        <v>186</v>
      </c>
      <c r="E16" t="s">
        <v>68</v>
      </c>
      <c r="F16">
        <v>2249</v>
      </c>
    </row>
    <row r="18" spans="1:6" x14ac:dyDescent="0.25">
      <c r="A18" s="113" t="s">
        <v>206</v>
      </c>
      <c r="B18" s="113"/>
      <c r="C18" s="113"/>
      <c r="D18" s="113"/>
      <c r="E18" s="113"/>
      <c r="F18" s="113"/>
    </row>
    <row r="19" spans="1:6" x14ac:dyDescent="0.25">
      <c r="A19" s="86" t="s">
        <v>200</v>
      </c>
      <c r="B19" s="86" t="s">
        <v>201</v>
      </c>
      <c r="C19" s="86" t="s">
        <v>202</v>
      </c>
      <c r="D19" s="86" t="s">
        <v>203</v>
      </c>
      <c r="E19" s="86" t="s">
        <v>204</v>
      </c>
      <c r="F19" s="86" t="s">
        <v>416</v>
      </c>
    </row>
    <row r="20" spans="1:6" x14ac:dyDescent="0.25">
      <c r="A20" s="21" t="s">
        <v>99</v>
      </c>
      <c r="B20" s="21" t="s">
        <v>100</v>
      </c>
      <c r="C20" s="21" t="s">
        <v>187</v>
      </c>
      <c r="D20" t="s">
        <v>207</v>
      </c>
      <c r="E20" t="s">
        <v>208</v>
      </c>
      <c r="F20">
        <v>50996</v>
      </c>
    </row>
    <row r="23" spans="1:6" x14ac:dyDescent="0.25">
      <c r="A23" s="113" t="s">
        <v>209</v>
      </c>
      <c r="B23" s="113"/>
      <c r="C23" s="113"/>
      <c r="D23" s="113"/>
    </row>
    <row r="24" spans="1:6" x14ac:dyDescent="0.25">
      <c r="A24" s="87" t="s">
        <v>58</v>
      </c>
      <c r="B24" s="88" t="s">
        <v>59</v>
      </c>
      <c r="C24" s="89" t="s">
        <v>73</v>
      </c>
      <c r="D24" s="90" t="s">
        <v>415</v>
      </c>
    </row>
    <row r="25" spans="1:6" x14ac:dyDescent="0.25">
      <c r="A25" s="22" t="s">
        <v>185</v>
      </c>
      <c r="B25" t="s">
        <v>186</v>
      </c>
      <c r="C25" s="21" t="s">
        <v>114</v>
      </c>
      <c r="D25" s="2">
        <f>$C$3*(F14/SUM($F$14:$F$16))</f>
        <v>265641.72550530836</v>
      </c>
    </row>
    <row r="26" spans="1:6" x14ac:dyDescent="0.25">
      <c r="A26" s="22" t="s">
        <v>185</v>
      </c>
      <c r="B26" t="s">
        <v>186</v>
      </c>
      <c r="C26" s="21" t="s">
        <v>148</v>
      </c>
      <c r="D26" s="2">
        <f>$C$3*(F15/SUM($F$14:$F$16))</f>
        <v>165.96250409449124</v>
      </c>
    </row>
    <row r="27" spans="1:6" x14ac:dyDescent="0.25">
      <c r="A27" s="22" t="s">
        <v>185</v>
      </c>
      <c r="B27" t="s">
        <v>186</v>
      </c>
      <c r="C27" s="21" t="s">
        <v>168</v>
      </c>
      <c r="D27" s="2">
        <f>$C$3*(F16/SUM($F$14:$F$16))</f>
        <v>12040.311990597122</v>
      </c>
    </row>
    <row r="28" spans="1:6" x14ac:dyDescent="0.25">
      <c r="A28" s="22" t="s">
        <v>187</v>
      </c>
      <c r="B28" t="s">
        <v>188</v>
      </c>
      <c r="C28" t="s">
        <v>100</v>
      </c>
      <c r="D28" s="84">
        <v>630146</v>
      </c>
    </row>
    <row r="29" spans="1:6" x14ac:dyDescent="0.25">
      <c r="A29" s="22" t="s">
        <v>189</v>
      </c>
      <c r="B29" t="s">
        <v>190</v>
      </c>
      <c r="C29" t="s">
        <v>122</v>
      </c>
      <c r="D29" s="84">
        <v>54569</v>
      </c>
    </row>
    <row r="30" spans="1:6" x14ac:dyDescent="0.25">
      <c r="A30" s="22" t="s">
        <v>191</v>
      </c>
      <c r="B30" t="s">
        <v>192</v>
      </c>
      <c r="C30" t="s">
        <v>80</v>
      </c>
      <c r="D30" s="84">
        <v>224530</v>
      </c>
    </row>
    <row r="31" spans="1:6" x14ac:dyDescent="0.25">
      <c r="A31" s="22" t="s">
        <v>193</v>
      </c>
      <c r="B31" t="s">
        <v>194</v>
      </c>
      <c r="C31" t="s">
        <v>67</v>
      </c>
      <c r="D31" s="84">
        <v>171030</v>
      </c>
    </row>
    <row r="32" spans="1:6" x14ac:dyDescent="0.25">
      <c r="A32" s="22" t="s">
        <v>195</v>
      </c>
      <c r="B32" t="s">
        <v>196</v>
      </c>
      <c r="C32" t="s">
        <v>148</v>
      </c>
      <c r="D32" s="84">
        <v>1257994</v>
      </c>
    </row>
    <row r="33" spans="1:4" x14ac:dyDescent="0.25">
      <c r="A33" s="22" t="s">
        <v>197</v>
      </c>
      <c r="B33" t="s">
        <v>198</v>
      </c>
      <c r="C33" t="s">
        <v>132</v>
      </c>
      <c r="D33" s="84">
        <v>528725</v>
      </c>
    </row>
    <row r="34" spans="1:4" x14ac:dyDescent="0.25">
      <c r="C34" t="s">
        <v>210</v>
      </c>
      <c r="D34" s="85">
        <f>SUM(D25:D33)</f>
        <v>3144842</v>
      </c>
    </row>
    <row r="35" spans="1:4" x14ac:dyDescent="0.25">
      <c r="C35" t="s">
        <v>211</v>
      </c>
      <c r="D35" s="27">
        <f>D34-C10</f>
        <v>0</v>
      </c>
    </row>
  </sheetData>
  <mergeCells count="4">
    <mergeCell ref="A12:F12"/>
    <mergeCell ref="A18:F18"/>
    <mergeCell ref="A23:D23"/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94F7-2F9D-43E2-82E8-6C8859C4870F}">
  <dimension ref="A2:Q27"/>
  <sheetViews>
    <sheetView workbookViewId="0">
      <selection activeCell="S8" sqref="S8"/>
    </sheetView>
  </sheetViews>
  <sheetFormatPr defaultRowHeight="15" x14ac:dyDescent="0.25"/>
  <cols>
    <col min="1" max="1" width="4.85546875" bestFit="1" customWidth="1"/>
    <col min="2" max="2" width="7.7109375" bestFit="1" customWidth="1"/>
    <col min="3" max="3" width="46.85546875" customWidth="1"/>
    <col min="6" max="6" width="12.5703125" bestFit="1" customWidth="1"/>
    <col min="7" max="7" width="11.5703125" bestFit="1" customWidth="1"/>
    <col min="11" max="11" width="11.42578125" bestFit="1" customWidth="1"/>
    <col min="12" max="12" width="11.85546875" customWidth="1"/>
    <col min="13" max="13" width="11.5703125" bestFit="1" customWidth="1"/>
    <col min="16" max="16" width="10.85546875" customWidth="1"/>
    <col min="17" max="17" width="10" bestFit="1" customWidth="1"/>
  </cols>
  <sheetData>
    <row r="2" spans="1:17" x14ac:dyDescent="0.25">
      <c r="A2" s="26" t="s">
        <v>406</v>
      </c>
    </row>
    <row r="3" spans="1:17" x14ac:dyDescent="0.25">
      <c r="A3" s="29" t="s">
        <v>405</v>
      </c>
    </row>
    <row r="4" spans="1:17" ht="36" x14ac:dyDescent="0.25">
      <c r="A4" s="58" t="s">
        <v>385</v>
      </c>
      <c r="B4" s="58" t="s">
        <v>386</v>
      </c>
      <c r="C4" s="59" t="s">
        <v>387</v>
      </c>
      <c r="D4" s="62" t="s">
        <v>60</v>
      </c>
      <c r="E4" s="62" t="s">
        <v>392</v>
      </c>
      <c r="F4" s="65" t="s">
        <v>393</v>
      </c>
      <c r="G4" s="65" t="s">
        <v>394</v>
      </c>
      <c r="H4" s="62" t="s">
        <v>395</v>
      </c>
      <c r="I4" s="62" t="s">
        <v>396</v>
      </c>
      <c r="J4" s="62" t="s">
        <v>397</v>
      </c>
      <c r="K4" s="62" t="s">
        <v>398</v>
      </c>
      <c r="L4" s="65" t="s">
        <v>399</v>
      </c>
      <c r="M4" s="65" t="s">
        <v>400</v>
      </c>
      <c r="N4" s="62" t="s">
        <v>401</v>
      </c>
      <c r="O4" s="62" t="s">
        <v>402</v>
      </c>
      <c r="P4" s="62" t="s">
        <v>403</v>
      </c>
      <c r="Q4" s="62" t="s">
        <v>404</v>
      </c>
    </row>
    <row r="5" spans="1:17" x14ac:dyDescent="0.25">
      <c r="A5" s="60" t="s">
        <v>388</v>
      </c>
      <c r="B5" s="60" t="s">
        <v>388</v>
      </c>
      <c r="C5" s="61" t="s">
        <v>304</v>
      </c>
      <c r="D5" s="1">
        <v>118131</v>
      </c>
      <c r="E5" s="1">
        <v>11121</v>
      </c>
      <c r="F5" s="57">
        <v>468927</v>
      </c>
      <c r="G5" s="57">
        <v>1975801</v>
      </c>
      <c r="H5" s="1">
        <v>117693</v>
      </c>
      <c r="I5" s="1">
        <v>394462</v>
      </c>
      <c r="J5" s="1">
        <v>452776</v>
      </c>
      <c r="K5">
        <v>1091157</v>
      </c>
      <c r="L5">
        <v>1249758</v>
      </c>
      <c r="M5">
        <v>2620033</v>
      </c>
      <c r="N5">
        <v>144276</v>
      </c>
      <c r="O5">
        <v>929369</v>
      </c>
      <c r="P5">
        <v>611768</v>
      </c>
      <c r="Q5">
        <v>555443</v>
      </c>
    </row>
    <row r="8" spans="1:17" x14ac:dyDescent="0.25">
      <c r="A8" s="29" t="s">
        <v>391</v>
      </c>
      <c r="K8" s="19" t="s">
        <v>407</v>
      </c>
      <c r="L8" s="19"/>
      <c r="M8" s="19"/>
      <c r="N8" s="19"/>
      <c r="O8" s="19"/>
    </row>
    <row r="9" spans="1:17" ht="36" x14ac:dyDescent="0.25">
      <c r="A9" s="58" t="s">
        <v>385</v>
      </c>
      <c r="B9" s="58" t="s">
        <v>386</v>
      </c>
      <c r="C9" s="59" t="s">
        <v>387</v>
      </c>
      <c r="D9" s="62" t="s">
        <v>60</v>
      </c>
      <c r="E9" s="62" t="s">
        <v>392</v>
      </c>
      <c r="F9" s="65" t="s">
        <v>393</v>
      </c>
      <c r="G9" s="65" t="s">
        <v>394</v>
      </c>
      <c r="H9" s="62" t="s">
        <v>395</v>
      </c>
      <c r="I9" s="62" t="s">
        <v>396</v>
      </c>
      <c r="J9" s="62" t="s">
        <v>397</v>
      </c>
      <c r="K9" s="62" t="s">
        <v>398</v>
      </c>
      <c r="L9" s="65" t="s">
        <v>399</v>
      </c>
      <c r="M9" s="65" t="s">
        <v>400</v>
      </c>
      <c r="N9" s="62" t="s">
        <v>401</v>
      </c>
      <c r="O9" s="62" t="s">
        <v>402</v>
      </c>
      <c r="P9" s="62" t="s">
        <v>403</v>
      </c>
      <c r="Q9" s="62" t="s">
        <v>404</v>
      </c>
    </row>
    <row r="10" spans="1:17" x14ac:dyDescent="0.25">
      <c r="A10" s="60" t="s">
        <v>388</v>
      </c>
      <c r="B10" s="60" t="s">
        <v>388</v>
      </c>
      <c r="C10" s="61" t="s">
        <v>304</v>
      </c>
      <c r="D10" s="63">
        <v>74381.240537643826</v>
      </c>
      <c r="E10" s="63">
        <v>11100.305385849766</v>
      </c>
      <c r="F10" s="57">
        <f t="shared" ref="F10:H11" si="0">F$5*($D10/$D$12)</f>
        <v>269788.27300640591</v>
      </c>
      <c r="G10" s="57">
        <f t="shared" si="0"/>
        <v>1136739.7048886712</v>
      </c>
      <c r="H10" s="2">
        <f t="shared" si="0"/>
        <v>67712.439707977857</v>
      </c>
      <c r="I10" s="2">
        <f t="shared" ref="I10:J11" si="1">I$5*($D10/$D$12)</f>
        <v>226946.24482414726</v>
      </c>
      <c r="J10" s="2">
        <f t="shared" si="1"/>
        <v>260496.10088296997</v>
      </c>
      <c r="K10" s="2">
        <f t="shared" ref="K10:O11" si="2">K$5*($D10/$D$12)</f>
        <v>627776.52514965204</v>
      </c>
      <c r="L10" s="57">
        <f t="shared" si="2"/>
        <v>719024.60829924466</v>
      </c>
      <c r="M10" s="57">
        <f t="shared" si="2"/>
        <v>1507386.3912502218</v>
      </c>
      <c r="N10" s="2">
        <f t="shared" si="2"/>
        <v>83006.465561318124</v>
      </c>
      <c r="O10" s="2">
        <f t="shared" si="2"/>
        <v>534694.86187762802</v>
      </c>
      <c r="P10" s="2">
        <f>P5</f>
        <v>611768</v>
      </c>
      <c r="Q10" s="2">
        <f>Q5</f>
        <v>555443</v>
      </c>
    </row>
    <row r="11" spans="1:17" x14ac:dyDescent="0.25">
      <c r="A11" s="61" t="s">
        <v>388</v>
      </c>
      <c r="B11" s="61" t="s">
        <v>389</v>
      </c>
      <c r="C11" s="61" t="s">
        <v>390</v>
      </c>
      <c r="D11" s="64">
        <v>54903</v>
      </c>
      <c r="E11" s="64">
        <v>20.987211258791433</v>
      </c>
      <c r="F11" s="57">
        <f t="shared" si="0"/>
        <v>199138.72699359406</v>
      </c>
      <c r="G11" s="57">
        <f t="shared" si="0"/>
        <v>839061.29511132895</v>
      </c>
      <c r="H11" s="2">
        <f t="shared" si="0"/>
        <v>49980.560292022143</v>
      </c>
      <c r="I11" s="2">
        <f t="shared" si="1"/>
        <v>167515.75517585274</v>
      </c>
      <c r="J11" s="2">
        <f t="shared" si="1"/>
        <v>192279.89911703003</v>
      </c>
      <c r="K11" s="2">
        <f t="shared" si="2"/>
        <v>463380.47485034796</v>
      </c>
      <c r="L11" s="57">
        <f t="shared" si="2"/>
        <v>530733.39170075534</v>
      </c>
      <c r="M11" s="57">
        <f t="shared" si="2"/>
        <v>1112646.6087497782</v>
      </c>
      <c r="N11" s="2">
        <f t="shared" si="2"/>
        <v>61269.534438681876</v>
      </c>
      <c r="O11" s="2">
        <f t="shared" si="2"/>
        <v>394674.13812237198</v>
      </c>
      <c r="P11" s="68"/>
      <c r="Q11" s="68"/>
    </row>
    <row r="12" spans="1:17" x14ac:dyDescent="0.25">
      <c r="C12" t="s">
        <v>210</v>
      </c>
      <c r="D12" s="1">
        <f>SUM(D10:D11)</f>
        <v>129284.24053764383</v>
      </c>
      <c r="E12" s="1">
        <f>SUM(E10:E11)</f>
        <v>11121.292597108557</v>
      </c>
      <c r="F12" s="57">
        <f>SUM(F10:F11)</f>
        <v>468927</v>
      </c>
      <c r="G12" s="57">
        <f>SUM(G10:G11)</f>
        <v>1975801</v>
      </c>
      <c r="H12" s="1">
        <f>SUM(H10:H11)</f>
        <v>117693</v>
      </c>
      <c r="I12" s="1">
        <f t="shared" ref="I12:K12" si="3">SUM(I10:I11)</f>
        <v>394462</v>
      </c>
      <c r="J12" s="1">
        <f t="shared" si="3"/>
        <v>452776</v>
      </c>
      <c r="K12" s="1">
        <f t="shared" si="3"/>
        <v>1091157</v>
      </c>
      <c r="L12" s="57">
        <f t="shared" ref="L12:Q12" si="4">SUM(L10:L11)</f>
        <v>1249758</v>
      </c>
      <c r="M12" s="57">
        <f t="shared" si="4"/>
        <v>2620033</v>
      </c>
      <c r="N12" s="1">
        <f t="shared" si="4"/>
        <v>144276</v>
      </c>
      <c r="O12" s="1">
        <f t="shared" si="4"/>
        <v>929369</v>
      </c>
      <c r="P12" s="57">
        <f t="shared" si="4"/>
        <v>611768</v>
      </c>
      <c r="Q12" s="57">
        <f t="shared" si="4"/>
        <v>555443</v>
      </c>
    </row>
    <row r="13" spans="1:17" x14ac:dyDescent="0.25">
      <c r="C13" s="66" t="s">
        <v>408</v>
      </c>
      <c r="D13" s="67">
        <f>D12-D5</f>
        <v>11153.240537643826</v>
      </c>
      <c r="E13" s="67">
        <f t="shared" ref="E13:Q13" si="5">E12-E5</f>
        <v>0.29259710855694721</v>
      </c>
      <c r="F13" s="67">
        <f t="shared" si="5"/>
        <v>0</v>
      </c>
      <c r="G13" s="67">
        <f t="shared" si="5"/>
        <v>0</v>
      </c>
      <c r="H13" s="67">
        <f t="shared" si="5"/>
        <v>0</v>
      </c>
      <c r="I13" s="67">
        <f t="shared" si="5"/>
        <v>0</v>
      </c>
      <c r="J13" s="67">
        <f t="shared" si="5"/>
        <v>0</v>
      </c>
      <c r="K13" s="67">
        <f t="shared" si="5"/>
        <v>0</v>
      </c>
      <c r="L13" s="67">
        <f t="shared" si="5"/>
        <v>0</v>
      </c>
      <c r="M13" s="67">
        <f t="shared" si="5"/>
        <v>0</v>
      </c>
      <c r="N13" s="67">
        <f t="shared" si="5"/>
        <v>0</v>
      </c>
      <c r="O13" s="67">
        <f t="shared" si="5"/>
        <v>0</v>
      </c>
      <c r="P13" s="67">
        <f t="shared" si="5"/>
        <v>0</v>
      </c>
      <c r="Q13" s="67">
        <f t="shared" si="5"/>
        <v>0</v>
      </c>
    </row>
    <row r="16" spans="1:17" x14ac:dyDescent="0.25">
      <c r="A16" s="26" t="s">
        <v>409</v>
      </c>
    </row>
    <row r="17" spans="1:17" x14ac:dyDescent="0.25">
      <c r="A17" s="29" t="s">
        <v>405</v>
      </c>
    </row>
    <row r="18" spans="1:17" ht="36" x14ac:dyDescent="0.25">
      <c r="A18" s="58" t="s">
        <v>385</v>
      </c>
      <c r="B18" s="58" t="s">
        <v>386</v>
      </c>
      <c r="C18" s="59" t="s">
        <v>387</v>
      </c>
      <c r="D18" s="62" t="s">
        <v>60</v>
      </c>
      <c r="E18" s="62" t="s">
        <v>392</v>
      </c>
      <c r="F18" s="65" t="s">
        <v>393</v>
      </c>
      <c r="G18" s="65" t="s">
        <v>394</v>
      </c>
      <c r="H18" s="62" t="s">
        <v>395</v>
      </c>
      <c r="I18" s="62" t="s">
        <v>396</v>
      </c>
      <c r="J18" s="62" t="s">
        <v>397</v>
      </c>
      <c r="K18" s="62" t="s">
        <v>398</v>
      </c>
      <c r="L18" s="65" t="s">
        <v>399</v>
      </c>
      <c r="M18" s="65" t="s">
        <v>400</v>
      </c>
      <c r="N18" s="62" t="s">
        <v>401</v>
      </c>
      <c r="O18" s="62" t="s">
        <v>402</v>
      </c>
      <c r="P18" s="62" t="s">
        <v>403</v>
      </c>
      <c r="Q18" s="62" t="s">
        <v>404</v>
      </c>
    </row>
    <row r="19" spans="1:17" x14ac:dyDescent="0.25">
      <c r="A19" s="69" t="s">
        <v>410</v>
      </c>
      <c r="B19" s="69" t="s">
        <v>413</v>
      </c>
      <c r="C19" s="60" t="s">
        <v>411</v>
      </c>
      <c r="D19" s="70">
        <v>193220</v>
      </c>
      <c r="E19" s="70">
        <v>4750</v>
      </c>
      <c r="F19" s="71">
        <v>390746</v>
      </c>
      <c r="G19" s="71">
        <v>1822011</v>
      </c>
      <c r="H19" s="70">
        <v>122284</v>
      </c>
      <c r="I19" s="70">
        <v>643597</v>
      </c>
      <c r="J19" s="70">
        <v>668975</v>
      </c>
      <c r="K19" s="72">
        <v>517662</v>
      </c>
      <c r="L19" s="73">
        <v>182704</v>
      </c>
      <c r="M19" s="74">
        <v>1509969</v>
      </c>
      <c r="N19" s="75">
        <v>99002</v>
      </c>
      <c r="O19" s="75">
        <v>484544</v>
      </c>
      <c r="P19" s="74">
        <v>579365</v>
      </c>
      <c r="Q19" s="74">
        <v>547272</v>
      </c>
    </row>
    <row r="22" spans="1:17" x14ac:dyDescent="0.25">
      <c r="A22" s="29" t="s">
        <v>391</v>
      </c>
      <c r="K22" s="19" t="s">
        <v>407</v>
      </c>
      <c r="L22" s="19"/>
      <c r="M22" s="19"/>
      <c r="N22" s="19"/>
      <c r="O22" s="19"/>
    </row>
    <row r="23" spans="1:17" ht="36" x14ac:dyDescent="0.25">
      <c r="A23" s="58" t="s">
        <v>385</v>
      </c>
      <c r="B23" s="58" t="s">
        <v>386</v>
      </c>
      <c r="C23" s="59" t="s">
        <v>387</v>
      </c>
      <c r="D23" s="62" t="s">
        <v>60</v>
      </c>
      <c r="E23" s="62" t="s">
        <v>392</v>
      </c>
      <c r="F23" s="65" t="s">
        <v>393</v>
      </c>
      <c r="G23" s="65" t="s">
        <v>394</v>
      </c>
      <c r="H23" s="62" t="s">
        <v>395</v>
      </c>
      <c r="I23" s="62" t="s">
        <v>396</v>
      </c>
      <c r="J23" s="62" t="s">
        <v>397</v>
      </c>
      <c r="K23" s="62" t="s">
        <v>398</v>
      </c>
      <c r="L23" s="65" t="s">
        <v>399</v>
      </c>
      <c r="M23" s="65" t="s">
        <v>400</v>
      </c>
      <c r="N23" s="62" t="s">
        <v>401</v>
      </c>
      <c r="O23" s="62" t="s">
        <v>402</v>
      </c>
      <c r="P23" s="62" t="s">
        <v>403</v>
      </c>
      <c r="Q23" s="62" t="s">
        <v>404</v>
      </c>
    </row>
    <row r="24" spans="1:17" x14ac:dyDescent="0.25">
      <c r="A24" s="69" t="s">
        <v>410</v>
      </c>
      <c r="B24" s="69" t="s">
        <v>413</v>
      </c>
      <c r="C24" s="60" t="s">
        <v>411</v>
      </c>
      <c r="D24" s="63">
        <v>162851.27702364765</v>
      </c>
      <c r="E24" s="63">
        <v>4702.3440474630252</v>
      </c>
      <c r="F24" s="57">
        <f t="shared" ref="F24:H25" si="6">F$19*($D24/$D$26)</f>
        <v>298612.3801329509</v>
      </c>
      <c r="G24" s="57">
        <f t="shared" si="6"/>
        <v>1392400.7957558569</v>
      </c>
      <c r="H24" s="2">
        <f t="shared" si="6"/>
        <v>93450.774396098161</v>
      </c>
      <c r="I24" s="2">
        <f t="shared" ref="I24:J25" si="7">I$19*($D24/$D$26)</f>
        <v>491843.88839918212</v>
      </c>
      <c r="J24" s="2">
        <f t="shared" si="7"/>
        <v>511238.03442502505</v>
      </c>
      <c r="K24" s="2">
        <f t="shared" ref="K24:O25" si="8">K$19*($D24/$D$26)</f>
        <v>395602.97974741558</v>
      </c>
      <c r="L24" s="57">
        <f t="shared" si="8"/>
        <v>139624.40127297697</v>
      </c>
      <c r="M24" s="57">
        <f t="shared" si="8"/>
        <v>1153934.8758962902</v>
      </c>
      <c r="N24" s="2">
        <f t="shared" si="8"/>
        <v>75658.414565785468</v>
      </c>
      <c r="O24" s="2">
        <f t="shared" si="8"/>
        <v>370293.84080487216</v>
      </c>
      <c r="P24" s="2">
        <f>P19</f>
        <v>579365</v>
      </c>
      <c r="Q24" s="2">
        <f>Q19</f>
        <v>547272</v>
      </c>
    </row>
    <row r="25" spans="1:17" x14ac:dyDescent="0.25">
      <c r="A25" s="61" t="s">
        <v>410</v>
      </c>
      <c r="B25" s="61" t="s">
        <v>414</v>
      </c>
      <c r="C25" s="61" t="s">
        <v>412</v>
      </c>
      <c r="D25" s="64">
        <v>50246</v>
      </c>
      <c r="E25" s="64">
        <v>27.528169543012595</v>
      </c>
      <c r="F25" s="57">
        <f t="shared" si="6"/>
        <v>92133.619867049056</v>
      </c>
      <c r="G25" s="57">
        <f t="shared" si="6"/>
        <v>429610.20424414304</v>
      </c>
      <c r="H25" s="2">
        <f t="shared" si="6"/>
        <v>28833.225603901836</v>
      </c>
      <c r="I25" s="2">
        <f t="shared" si="7"/>
        <v>151753.11160081785</v>
      </c>
      <c r="J25" s="2">
        <f t="shared" si="7"/>
        <v>157736.96557497492</v>
      </c>
      <c r="K25" s="2">
        <f t="shared" si="8"/>
        <v>122059.02025258442</v>
      </c>
      <c r="L25" s="57">
        <f t="shared" si="8"/>
        <v>43079.598727023003</v>
      </c>
      <c r="M25" s="57">
        <f t="shared" si="8"/>
        <v>356034.12410370982</v>
      </c>
      <c r="N25" s="2">
        <f t="shared" si="8"/>
        <v>23343.585434214532</v>
      </c>
      <c r="O25" s="2">
        <f t="shared" si="8"/>
        <v>114250.15919512784</v>
      </c>
      <c r="P25" s="68"/>
      <c r="Q25" s="68"/>
    </row>
    <row r="26" spans="1:17" x14ac:dyDescent="0.25">
      <c r="C26" t="s">
        <v>210</v>
      </c>
      <c r="D26" s="1">
        <f>SUM(D24:D25)</f>
        <v>213097.27702364765</v>
      </c>
      <c r="E26" s="1">
        <f>SUM(E24:E25)</f>
        <v>4729.8722170060373</v>
      </c>
      <c r="F26" s="57">
        <f>SUM(F24:F25)</f>
        <v>390745.99999999994</v>
      </c>
      <c r="G26" s="57">
        <f>SUM(G24:G25)</f>
        <v>1822011</v>
      </c>
      <c r="H26" s="1">
        <f>SUM(H24:H25)</f>
        <v>122284</v>
      </c>
      <c r="I26" s="1">
        <f t="shared" ref="I26" si="9">SUM(I24:I25)</f>
        <v>643597</v>
      </c>
      <c r="J26" s="1">
        <f t="shared" ref="J26" si="10">SUM(J24:J25)</f>
        <v>668975</v>
      </c>
      <c r="K26" s="1">
        <f t="shared" ref="K26" si="11">SUM(K24:K25)</f>
        <v>517662</v>
      </c>
      <c r="L26" s="57">
        <f t="shared" ref="L26:Q26" si="12">SUM(L24:L25)</f>
        <v>182703.99999999997</v>
      </c>
      <c r="M26" s="57">
        <f t="shared" si="12"/>
        <v>1509969</v>
      </c>
      <c r="N26" s="1">
        <f t="shared" si="12"/>
        <v>99002</v>
      </c>
      <c r="O26" s="1">
        <f t="shared" si="12"/>
        <v>484544</v>
      </c>
      <c r="P26" s="57">
        <f t="shared" si="12"/>
        <v>579365</v>
      </c>
      <c r="Q26" s="57">
        <f t="shared" si="12"/>
        <v>547272</v>
      </c>
    </row>
    <row r="27" spans="1:17" x14ac:dyDescent="0.25">
      <c r="C27" s="66" t="s">
        <v>408</v>
      </c>
      <c r="D27" s="67">
        <f>D26-D19</f>
        <v>19877.27702364765</v>
      </c>
      <c r="E27" s="67">
        <f t="shared" ref="E27" si="13">E26-E19</f>
        <v>-20.127782993962683</v>
      </c>
      <c r="F27" s="67">
        <f t="shared" ref="F27" si="14">F26-F19</f>
        <v>0</v>
      </c>
      <c r="G27" s="67">
        <f t="shared" ref="G27" si="15">G26-G19</f>
        <v>0</v>
      </c>
      <c r="H27" s="67">
        <f t="shared" ref="H27" si="16">H26-H19</f>
        <v>0</v>
      </c>
      <c r="I27" s="67">
        <f t="shared" ref="I27" si="17">I26-I19</f>
        <v>0</v>
      </c>
      <c r="J27" s="67">
        <f t="shared" ref="J27" si="18">J26-J19</f>
        <v>0</v>
      </c>
      <c r="K27" s="67">
        <f t="shared" ref="K27" si="19">K26-K19</f>
        <v>0</v>
      </c>
      <c r="L27" s="67">
        <f t="shared" ref="L27" si="20">L26-L19</f>
        <v>0</v>
      </c>
      <c r="M27" s="67">
        <f t="shared" ref="M27" si="21">M26-M19</f>
        <v>0</v>
      </c>
      <c r="N27" s="67">
        <f t="shared" ref="N27" si="22">N26-N19</f>
        <v>0</v>
      </c>
      <c r="O27" s="67">
        <f t="shared" ref="O27" si="23">O26-O19</f>
        <v>0</v>
      </c>
      <c r="P27" s="67">
        <f t="shared" ref="P27" si="24">P26-P19</f>
        <v>0</v>
      </c>
      <c r="Q27" s="67">
        <f t="shared" ref="Q27" si="25">Q26-Q19</f>
        <v>0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88CE3-1371-4354-8383-8BC399819805}">
  <dimension ref="A1:L66"/>
  <sheetViews>
    <sheetView workbookViewId="0">
      <selection activeCell="C19" sqref="C19"/>
    </sheetView>
  </sheetViews>
  <sheetFormatPr defaultRowHeight="15" x14ac:dyDescent="0.25"/>
  <cols>
    <col min="1" max="1" width="10.140625" bestFit="1" customWidth="1"/>
    <col min="2" max="2" width="28.140625" bestFit="1" customWidth="1"/>
    <col min="3" max="3" width="27.42578125" bestFit="1" customWidth="1"/>
    <col min="4" max="4" width="12.85546875" customWidth="1"/>
    <col min="5" max="5" width="11.5703125" customWidth="1"/>
    <col min="6" max="6" width="12.7109375" customWidth="1"/>
    <col min="7" max="7" width="10.85546875" customWidth="1"/>
  </cols>
  <sheetData>
    <row r="1" spans="1:12" x14ac:dyDescent="0.25">
      <c r="A1" s="114" t="s">
        <v>417</v>
      </c>
      <c r="B1" s="114"/>
      <c r="C1" s="114"/>
      <c r="D1" s="114" t="s">
        <v>419</v>
      </c>
      <c r="E1" s="114"/>
      <c r="F1" s="114"/>
      <c r="G1" s="114"/>
    </row>
    <row r="2" spans="1:12" ht="45" customHeight="1" x14ac:dyDescent="0.25">
      <c r="A2" s="16" t="s">
        <v>63</v>
      </c>
      <c r="B2" s="17" t="s">
        <v>64</v>
      </c>
      <c r="C2" s="20" t="s">
        <v>418</v>
      </c>
      <c r="D2" s="15" t="s">
        <v>183</v>
      </c>
      <c r="E2" s="15" t="s">
        <v>212</v>
      </c>
      <c r="F2" s="15" t="s">
        <v>213</v>
      </c>
      <c r="G2" s="15" t="s">
        <v>219</v>
      </c>
    </row>
    <row r="3" spans="1:12" x14ac:dyDescent="0.25">
      <c r="A3" s="18" t="s">
        <v>75</v>
      </c>
      <c r="B3" t="s">
        <v>76</v>
      </c>
      <c r="C3" s="1">
        <v>5837073</v>
      </c>
      <c r="D3">
        <f>IFERROR(SUMIF('New UZAs'!$I$3:$I$23,B3,'New UZAs'!$J$3:$J$23),"")</f>
        <v>0</v>
      </c>
      <c r="E3">
        <f>SUMIF('Removed UZAs (now rural)'!$C$25:$C$33,'States States'!B3,'Removed UZAs (now rural)'!$D$25:$D$33)</f>
        <v>0</v>
      </c>
      <c r="F3" s="1">
        <f t="shared" ref="F3:F34" si="0">C3-D3+E3</f>
        <v>5837073</v>
      </c>
      <c r="G3">
        <f t="shared" ref="G3:G34" si="1">IF(SUM(D3:E3)=0,0,1)</f>
        <v>0</v>
      </c>
      <c r="L3" s="21" t="s">
        <v>114</v>
      </c>
    </row>
    <row r="4" spans="1:12" x14ac:dyDescent="0.25">
      <c r="A4" s="18" t="s">
        <v>77</v>
      </c>
      <c r="B4" t="s">
        <v>78</v>
      </c>
      <c r="C4" s="1">
        <v>4072666</v>
      </c>
      <c r="D4">
        <f>IFERROR(SUMIF('New UZAs'!$I$3:$I$23,B4,'New UZAs'!$J$3:$J$23),"")</f>
        <v>443272.91342762881</v>
      </c>
      <c r="E4">
        <f>SUMIF('Removed UZAs (now rural)'!$C$25:$C$33,'States States'!B4,'Removed UZAs (now rural)'!$D$25:$D$33)</f>
        <v>0</v>
      </c>
      <c r="F4" s="1">
        <f t="shared" si="0"/>
        <v>3629393.0865723714</v>
      </c>
      <c r="G4">
        <f t="shared" si="1"/>
        <v>1</v>
      </c>
      <c r="L4" s="21" t="s">
        <v>148</v>
      </c>
    </row>
    <row r="5" spans="1:12" x14ac:dyDescent="0.25">
      <c r="A5" s="18" t="s">
        <v>66</v>
      </c>
      <c r="B5" t="s">
        <v>67</v>
      </c>
      <c r="C5" s="1">
        <v>5628984</v>
      </c>
      <c r="D5">
        <f>IFERROR(SUMIF('New UZAs'!$I$3:$I$23,B5,'New UZAs'!$J$3:$J$23),"")</f>
        <v>338481</v>
      </c>
      <c r="E5">
        <f>SUMIF('Removed UZAs (now rural)'!$C$25:$C$33,'States States'!B5,'Removed UZAs (now rural)'!$D$25:$D$33)</f>
        <v>171030</v>
      </c>
      <c r="F5" s="1">
        <f t="shared" si="0"/>
        <v>5461533</v>
      </c>
      <c r="G5">
        <f t="shared" si="1"/>
        <v>1</v>
      </c>
      <c r="L5" s="21" t="s">
        <v>168</v>
      </c>
    </row>
    <row r="6" spans="1:12" x14ac:dyDescent="0.25">
      <c r="A6" s="18" t="s">
        <v>79</v>
      </c>
      <c r="B6" t="s">
        <v>80</v>
      </c>
      <c r="C6" s="1">
        <v>12331660</v>
      </c>
      <c r="D6">
        <f>IFERROR(SUMIF('New UZAs'!$I$3:$I$23,B6,'New UZAs'!$J$3:$J$23),"")</f>
        <v>0</v>
      </c>
      <c r="E6">
        <f>SUMIF('Removed UZAs (now rural)'!$C$25:$C$33,'States States'!B6,'Removed UZAs (now rural)'!$D$25:$D$33)</f>
        <v>224530</v>
      </c>
      <c r="F6" s="1">
        <f t="shared" si="0"/>
        <v>12556190</v>
      </c>
      <c r="G6">
        <f t="shared" si="1"/>
        <v>1</v>
      </c>
      <c r="L6" t="s">
        <v>100</v>
      </c>
    </row>
    <row r="7" spans="1:12" x14ac:dyDescent="0.25">
      <c r="A7" s="18" t="s">
        <v>81</v>
      </c>
      <c r="B7" t="s">
        <v>82</v>
      </c>
      <c r="C7" s="1">
        <v>26306538</v>
      </c>
      <c r="D7">
        <f>IFERROR(SUMIF('New UZAs'!$I$3:$I$23,B7,'New UZAs'!$J$3:$J$23),"")</f>
        <v>600726.52563932678</v>
      </c>
      <c r="E7">
        <f>SUMIF('Removed UZAs (now rural)'!$C$25:$C$33,'States States'!B7,'Removed UZAs (now rural)'!$D$25:$D$33)</f>
        <v>0</v>
      </c>
      <c r="F7" s="1">
        <f t="shared" si="0"/>
        <v>25705811.474360675</v>
      </c>
      <c r="G7">
        <f t="shared" si="1"/>
        <v>1</v>
      </c>
      <c r="L7" t="s">
        <v>122</v>
      </c>
    </row>
    <row r="8" spans="1:12" x14ac:dyDescent="0.25">
      <c r="A8" s="18" t="s">
        <v>83</v>
      </c>
      <c r="B8" t="s">
        <v>84</v>
      </c>
      <c r="C8" s="1">
        <v>20416522</v>
      </c>
      <c r="D8">
        <f>IFERROR(SUMIF('New UZAs'!$I$3:$I$23,B8,'New UZAs'!$J$3:$J$23),"")</f>
        <v>0</v>
      </c>
      <c r="E8">
        <f>SUMIF('Removed UZAs (now rural)'!$C$25:$C$33,'States States'!B8,'Removed UZAs (now rural)'!$D$25:$D$33)</f>
        <v>0</v>
      </c>
      <c r="F8" s="1">
        <f t="shared" si="0"/>
        <v>20416522</v>
      </c>
      <c r="G8">
        <f t="shared" si="1"/>
        <v>0</v>
      </c>
      <c r="L8" t="s">
        <v>80</v>
      </c>
    </row>
    <row r="9" spans="1:12" x14ac:dyDescent="0.25">
      <c r="A9" s="18" t="s">
        <v>85</v>
      </c>
      <c r="B9" t="s">
        <v>86</v>
      </c>
      <c r="C9" s="1">
        <v>1554701</v>
      </c>
      <c r="D9">
        <f>IFERROR(SUMIF('New UZAs'!$I$3:$I$23,B9,'New UZAs'!$J$3:$J$23),"")</f>
        <v>0</v>
      </c>
      <c r="E9">
        <f>SUMIF('Removed UZAs (now rural)'!$C$25:$C$33,'States States'!B9,'Removed UZAs (now rural)'!$D$25:$D$33)</f>
        <v>0</v>
      </c>
      <c r="F9" s="1">
        <f t="shared" si="0"/>
        <v>1554701</v>
      </c>
      <c r="G9">
        <f t="shared" si="1"/>
        <v>0</v>
      </c>
      <c r="L9" t="s">
        <v>67</v>
      </c>
    </row>
    <row r="10" spans="1:12" x14ac:dyDescent="0.25">
      <c r="A10" s="18" t="s">
        <v>87</v>
      </c>
      <c r="B10" t="s">
        <v>88</v>
      </c>
      <c r="C10" s="1">
        <v>3199039</v>
      </c>
      <c r="D10">
        <f>IFERROR(SUMIF('New UZAs'!$I$3:$I$23,B10,'New UZAs'!$J$3:$J$23),"")</f>
        <v>0</v>
      </c>
      <c r="E10">
        <f>SUMIF('Removed UZAs (now rural)'!$C$25:$C$33,'States States'!B10,'Removed UZAs (now rural)'!$D$25:$D$33)</f>
        <v>0</v>
      </c>
      <c r="F10" s="1">
        <f t="shared" si="0"/>
        <v>3199039</v>
      </c>
      <c r="G10">
        <f t="shared" si="1"/>
        <v>0</v>
      </c>
      <c r="L10" t="s">
        <v>82</v>
      </c>
    </row>
    <row r="11" spans="1:12" x14ac:dyDescent="0.25">
      <c r="A11" s="18" t="s">
        <v>89</v>
      </c>
      <c r="B11" t="s">
        <v>90</v>
      </c>
      <c r="C11" s="1">
        <v>0</v>
      </c>
      <c r="D11">
        <f>IFERROR(SUMIF('New UZAs'!$I$3:$I$23,B11,'New UZAs'!$J$3:$J$23),"")</f>
        <v>0</v>
      </c>
      <c r="E11">
        <f>SUMIF('Removed UZAs (now rural)'!$C$25:$C$33,'States States'!B11,'Removed UZAs (now rural)'!$D$25:$D$33)</f>
        <v>0</v>
      </c>
      <c r="F11" s="1">
        <f t="shared" si="0"/>
        <v>0</v>
      </c>
      <c r="G11">
        <f t="shared" si="1"/>
        <v>0</v>
      </c>
      <c r="L11" t="s">
        <v>70</v>
      </c>
    </row>
    <row r="12" spans="1:12" x14ac:dyDescent="0.25">
      <c r="A12" s="18" t="s">
        <v>91</v>
      </c>
      <c r="B12" t="s">
        <v>92</v>
      </c>
      <c r="C12" s="1">
        <v>21074199</v>
      </c>
      <c r="D12">
        <f>IFERROR(SUMIF('New UZAs'!$I$3:$I$23,B12,'New UZAs'!$J$3:$J$23),"")</f>
        <v>746426.63474857807</v>
      </c>
      <c r="E12">
        <f>SUMIF('Removed UZAs (now rural)'!$C$25:$C$33,'States States'!B12,'Removed UZAs (now rural)'!$D$25:$D$33)</f>
        <v>0</v>
      </c>
      <c r="F12" s="1">
        <f t="shared" si="0"/>
        <v>20327772.365251422</v>
      </c>
      <c r="G12">
        <f t="shared" si="1"/>
        <v>1</v>
      </c>
      <c r="L12" t="s">
        <v>132</v>
      </c>
    </row>
    <row r="13" spans="1:12" x14ac:dyDescent="0.25">
      <c r="A13" s="18" t="s">
        <v>93</v>
      </c>
      <c r="B13" t="s">
        <v>94</v>
      </c>
      <c r="C13" s="1">
        <v>16104391</v>
      </c>
      <c r="D13">
        <f>IFERROR(SUMIF('New UZAs'!$I$3:$I$23,B13,'New UZAs'!$J$3:$J$23),"")</f>
        <v>0</v>
      </c>
      <c r="E13">
        <f>SUMIF('Removed UZAs (now rural)'!$C$25:$C$33,'States States'!B13,'Removed UZAs (now rural)'!$D$25:$D$33)</f>
        <v>0</v>
      </c>
      <c r="F13" s="1">
        <f t="shared" si="0"/>
        <v>16104391</v>
      </c>
      <c r="G13">
        <f t="shared" si="1"/>
        <v>0</v>
      </c>
      <c r="L13" s="23" t="s">
        <v>152</v>
      </c>
    </row>
    <row r="14" spans="1:12" x14ac:dyDescent="0.25">
      <c r="A14" s="18" t="s">
        <v>95</v>
      </c>
      <c r="B14" t="s">
        <v>96</v>
      </c>
      <c r="C14" s="1">
        <v>5226165</v>
      </c>
      <c r="D14">
        <f>IFERROR(SUMIF('New UZAs'!$I$3:$I$23,B14,'New UZAs'!$J$3:$J$23),"")</f>
        <v>724369.39552286954</v>
      </c>
      <c r="E14">
        <f>SUMIF('Removed UZAs (now rural)'!$C$25:$C$33,'States States'!B14,'Removed UZAs (now rural)'!$D$25:$D$33)</f>
        <v>0</v>
      </c>
      <c r="F14" s="1">
        <f t="shared" si="0"/>
        <v>4501795.6044771308</v>
      </c>
      <c r="G14">
        <f t="shared" si="1"/>
        <v>1</v>
      </c>
      <c r="L14" s="23" t="s">
        <v>126</v>
      </c>
    </row>
    <row r="15" spans="1:12" x14ac:dyDescent="0.25">
      <c r="A15" s="18" t="s">
        <v>97</v>
      </c>
      <c r="B15" t="s">
        <v>98</v>
      </c>
      <c r="C15" s="1">
        <v>3629145</v>
      </c>
      <c r="D15">
        <f>IFERROR(SUMIF('New UZAs'!$I$3:$I$23,B15,'New UZAs'!$J$3:$J$23),"")</f>
        <v>87298</v>
      </c>
      <c r="E15">
        <f>SUMIF('Removed UZAs (now rural)'!$C$25:$C$33,'States States'!B15,'Removed UZAs (now rural)'!$D$25:$D$33)</f>
        <v>0</v>
      </c>
      <c r="F15" s="1">
        <f t="shared" si="0"/>
        <v>3541847</v>
      </c>
      <c r="G15">
        <f t="shared" si="1"/>
        <v>1</v>
      </c>
      <c r="L15" s="19" t="s">
        <v>156</v>
      </c>
    </row>
    <row r="16" spans="1:12" x14ac:dyDescent="0.25">
      <c r="A16" s="18" t="s">
        <v>99</v>
      </c>
      <c r="B16" t="s">
        <v>100</v>
      </c>
      <c r="C16" s="1">
        <v>21079446</v>
      </c>
      <c r="D16">
        <f>IFERROR(SUMIF('New UZAs'!$I$3:$I$23,B16,'New UZAs'!$J$3:$J$23),"")</f>
        <v>0</v>
      </c>
      <c r="E16">
        <f>SUMIF('Removed UZAs (now rural)'!$C$25:$C$33,'States States'!B16,'Removed UZAs (now rural)'!$D$25:$D$33)</f>
        <v>630146</v>
      </c>
      <c r="F16" s="1">
        <f t="shared" si="0"/>
        <v>21709592</v>
      </c>
      <c r="G16">
        <f t="shared" si="1"/>
        <v>1</v>
      </c>
      <c r="L16" s="19" t="s">
        <v>158</v>
      </c>
    </row>
    <row r="17" spans="1:12" x14ac:dyDescent="0.25">
      <c r="A17" s="18" t="s">
        <v>101</v>
      </c>
      <c r="B17" t="s">
        <v>102</v>
      </c>
      <c r="C17" s="1">
        <v>12741232</v>
      </c>
      <c r="D17">
        <f>IFERROR(SUMIF('New UZAs'!$I$3:$I$23,B17,'New UZAs'!$J$3:$J$23),"")</f>
        <v>0</v>
      </c>
      <c r="E17">
        <f>SUMIF('Removed UZAs (now rural)'!$C$25:$C$33,'States States'!B17,'Removed UZAs (now rural)'!$D$25:$D$33)</f>
        <v>0</v>
      </c>
      <c r="F17" s="1">
        <f t="shared" si="0"/>
        <v>12741232</v>
      </c>
      <c r="G17">
        <f t="shared" si="1"/>
        <v>0</v>
      </c>
      <c r="L17" s="19" t="s">
        <v>144</v>
      </c>
    </row>
    <row r="18" spans="1:12" x14ac:dyDescent="0.25">
      <c r="A18" s="18" t="s">
        <v>103</v>
      </c>
      <c r="B18" t="s">
        <v>104</v>
      </c>
      <c r="C18" s="1">
        <v>15170293</v>
      </c>
      <c r="D18">
        <f>IFERROR(SUMIF('New UZAs'!$I$3:$I$23,B18,'New UZAs'!$J$3:$J$23),"")</f>
        <v>0</v>
      </c>
      <c r="E18">
        <f>SUMIF('Removed UZAs (now rural)'!$C$25:$C$33,'States States'!B18,'Removed UZAs (now rural)'!$D$25:$D$33)</f>
        <v>0</v>
      </c>
      <c r="F18" s="1">
        <f t="shared" si="0"/>
        <v>15170293</v>
      </c>
      <c r="G18">
        <f t="shared" si="1"/>
        <v>0</v>
      </c>
      <c r="L18" s="19" t="s">
        <v>92</v>
      </c>
    </row>
    <row r="19" spans="1:12" x14ac:dyDescent="0.25">
      <c r="A19" s="18" t="s">
        <v>105</v>
      </c>
      <c r="B19" t="s">
        <v>106</v>
      </c>
      <c r="C19" s="1">
        <v>7578208</v>
      </c>
      <c r="D19">
        <f>IFERROR(SUMIF('New UZAs'!$I$3:$I$23,B19,'New UZAs'!$J$3:$J$23),"")</f>
        <v>0</v>
      </c>
      <c r="E19">
        <f>SUMIF('Removed UZAs (now rural)'!$C$25:$C$33,'States States'!B19,'Removed UZAs (now rural)'!$D$25:$D$33)</f>
        <v>0</v>
      </c>
      <c r="F19" s="1">
        <f t="shared" si="0"/>
        <v>7578208</v>
      </c>
      <c r="G19">
        <f t="shared" si="1"/>
        <v>0</v>
      </c>
      <c r="L19" s="19" t="s">
        <v>96</v>
      </c>
    </row>
    <row r="20" spans="1:12" x14ac:dyDescent="0.25">
      <c r="A20" s="18" t="s">
        <v>107</v>
      </c>
      <c r="B20" t="s">
        <v>108</v>
      </c>
      <c r="C20" s="1">
        <v>30128730</v>
      </c>
      <c r="D20">
        <f>IFERROR(SUMIF('New UZAs'!$I$3:$I$23,B20,'New UZAs'!$J$3:$J$23),"")</f>
        <v>0</v>
      </c>
      <c r="E20">
        <f>SUMIF('Removed UZAs (now rural)'!$C$25:$C$33,'States States'!B20,'Removed UZAs (now rural)'!$D$25:$D$33)</f>
        <v>0</v>
      </c>
      <c r="F20" s="1">
        <f t="shared" si="0"/>
        <v>30128730</v>
      </c>
      <c r="G20">
        <f t="shared" si="1"/>
        <v>0</v>
      </c>
      <c r="L20" s="19" t="s">
        <v>78</v>
      </c>
    </row>
    <row r="21" spans="1:12" x14ac:dyDescent="0.25">
      <c r="A21" s="18" t="s">
        <v>109</v>
      </c>
      <c r="B21" t="s">
        <v>110</v>
      </c>
      <c r="C21" s="1">
        <v>5564711</v>
      </c>
      <c r="D21">
        <f>IFERROR(SUMIF('New UZAs'!$I$3:$I$23,B21,'New UZAs'!$J$3:$J$23),"")</f>
        <v>0</v>
      </c>
      <c r="E21">
        <f>SUMIF('Removed UZAs (now rural)'!$C$25:$C$33,'States States'!B21,'Removed UZAs (now rural)'!$D$25:$D$33)</f>
        <v>0</v>
      </c>
      <c r="F21" s="1">
        <f t="shared" si="0"/>
        <v>5564711</v>
      </c>
      <c r="G21">
        <f t="shared" si="1"/>
        <v>0</v>
      </c>
      <c r="L21" s="19" t="s">
        <v>140</v>
      </c>
    </row>
    <row r="22" spans="1:12" x14ac:dyDescent="0.25">
      <c r="A22" s="18" t="s">
        <v>111</v>
      </c>
      <c r="B22" t="s">
        <v>112</v>
      </c>
      <c r="C22" s="1">
        <v>13395743</v>
      </c>
      <c r="D22">
        <f>IFERROR(SUMIF('New UZAs'!$I$3:$I$23,B22,'New UZAs'!$J$3:$J$23),"")</f>
        <v>0</v>
      </c>
      <c r="E22">
        <f>SUMIF('Removed UZAs (now rural)'!$C$25:$C$33,'States States'!B22,'Removed UZAs (now rural)'!$D$25:$D$33)</f>
        <v>0</v>
      </c>
      <c r="F22" s="1">
        <f t="shared" si="0"/>
        <v>13395743</v>
      </c>
      <c r="G22">
        <f t="shared" si="1"/>
        <v>0</v>
      </c>
      <c r="L22" s="19" t="s">
        <v>138</v>
      </c>
    </row>
    <row r="23" spans="1:12" x14ac:dyDescent="0.25">
      <c r="A23" s="18" t="s">
        <v>113</v>
      </c>
      <c r="B23" t="s">
        <v>114</v>
      </c>
      <c r="C23" s="1">
        <v>6162333</v>
      </c>
      <c r="D23">
        <f>IFERROR(SUMIF('New UZAs'!$I$3:$I$23,B23,'New UZAs'!$J$3:$J$23),"")</f>
        <v>0</v>
      </c>
      <c r="E23">
        <f>SUMIF('Removed UZAs (now rural)'!$C$25:$C$33,'States States'!B23,'Removed UZAs (now rural)'!$D$25:$D$33)</f>
        <v>265641.72550530836</v>
      </c>
      <c r="F23" s="1">
        <f t="shared" si="0"/>
        <v>6427974.7255053082</v>
      </c>
      <c r="G23">
        <f t="shared" si="1"/>
        <v>1</v>
      </c>
      <c r="L23" s="19" t="s">
        <v>142</v>
      </c>
    </row>
    <row r="24" spans="1:12" x14ac:dyDescent="0.25">
      <c r="A24" s="18" t="s">
        <v>115</v>
      </c>
      <c r="B24" t="s">
        <v>116</v>
      </c>
      <c r="C24" s="1">
        <v>3147859</v>
      </c>
      <c r="D24">
        <f>IFERROR(SUMIF('New UZAs'!$I$3:$I$23,B24,'New UZAs'!$J$3:$J$23),"")</f>
        <v>0</v>
      </c>
      <c r="E24">
        <f>SUMIF('Removed UZAs (now rural)'!$C$25:$C$33,'States States'!B24,'Removed UZAs (now rural)'!$D$25:$D$33)</f>
        <v>0</v>
      </c>
      <c r="F24" s="1">
        <f t="shared" si="0"/>
        <v>3147859</v>
      </c>
      <c r="G24">
        <f t="shared" si="1"/>
        <v>0</v>
      </c>
      <c r="L24" s="19" t="s">
        <v>134</v>
      </c>
    </row>
    <row r="25" spans="1:12" x14ac:dyDescent="0.25">
      <c r="A25" s="18" t="s">
        <v>117</v>
      </c>
      <c r="B25" t="s">
        <v>118</v>
      </c>
      <c r="C25" s="1">
        <v>31503081</v>
      </c>
      <c r="D25">
        <f>IFERROR(SUMIF('New UZAs'!$I$3:$I$23,B25,'New UZAs'!$J$3:$J$23),"")</f>
        <v>942221.10859334143</v>
      </c>
      <c r="E25">
        <f>SUMIF('Removed UZAs (now rural)'!$C$25:$C$33,'States States'!B25,'Removed UZAs (now rural)'!$D$25:$D$33)</f>
        <v>0</v>
      </c>
      <c r="F25" s="1">
        <f t="shared" si="0"/>
        <v>30560859.891406659</v>
      </c>
      <c r="G25">
        <f t="shared" si="1"/>
        <v>1</v>
      </c>
      <c r="L25" s="19" t="s">
        <v>118</v>
      </c>
    </row>
    <row r="26" spans="1:12" x14ac:dyDescent="0.25">
      <c r="A26" s="18" t="s">
        <v>119</v>
      </c>
      <c r="B26" t="s">
        <v>120</v>
      </c>
      <c r="C26" s="1">
        <v>15310375</v>
      </c>
      <c r="D26">
        <f>IFERROR(SUMIF('New UZAs'!$I$3:$I$23,B26,'New UZAs'!$J$3:$J$23),"")</f>
        <v>0</v>
      </c>
      <c r="E26">
        <f>SUMIF('Removed UZAs (now rural)'!$C$25:$C$33,'States States'!B26,'Removed UZAs (now rural)'!$D$25:$D$33)</f>
        <v>0</v>
      </c>
      <c r="F26" s="1">
        <f t="shared" si="0"/>
        <v>15310375</v>
      </c>
      <c r="G26">
        <f t="shared" si="1"/>
        <v>0</v>
      </c>
      <c r="L26" s="19" t="s">
        <v>98</v>
      </c>
    </row>
    <row r="27" spans="1:12" x14ac:dyDescent="0.25">
      <c r="A27" s="18" t="s">
        <v>121</v>
      </c>
      <c r="B27" t="s">
        <v>122</v>
      </c>
      <c r="C27" s="1">
        <v>12438020</v>
      </c>
      <c r="D27">
        <f>IFERROR(SUMIF('New UZAs'!$I$3:$I$23,B27,'New UZAs'!$J$3:$J$23),"")</f>
        <v>0</v>
      </c>
      <c r="E27">
        <f>SUMIF('Removed UZAs (now rural)'!$C$25:$C$33,'States States'!B27,'Removed UZAs (now rural)'!$D$25:$D$33)</f>
        <v>54569</v>
      </c>
      <c r="F27" s="1">
        <f t="shared" si="0"/>
        <v>12492589</v>
      </c>
      <c r="G27">
        <f t="shared" si="1"/>
        <v>1</v>
      </c>
    </row>
    <row r="28" spans="1:12" x14ac:dyDescent="0.25">
      <c r="A28" s="18" t="s">
        <v>123</v>
      </c>
      <c r="B28" t="s">
        <v>124</v>
      </c>
      <c r="C28" s="1">
        <v>22061771</v>
      </c>
      <c r="D28">
        <f>IFERROR(SUMIF('New UZAs'!$I$3:$I$23,B28,'New UZAs'!$J$3:$J$23),"")</f>
        <v>0</v>
      </c>
      <c r="E28">
        <f>SUMIF('Removed UZAs (now rural)'!$C$25:$C$33,'States States'!B28,'Removed UZAs (now rural)'!$D$25:$D$33)</f>
        <v>0</v>
      </c>
      <c r="F28" s="1">
        <f t="shared" si="0"/>
        <v>22061771</v>
      </c>
      <c r="G28">
        <f t="shared" si="1"/>
        <v>0</v>
      </c>
    </row>
    <row r="29" spans="1:12" x14ac:dyDescent="0.25">
      <c r="A29" s="18" t="s">
        <v>125</v>
      </c>
      <c r="B29" t="s">
        <v>126</v>
      </c>
      <c r="C29" s="1">
        <v>5288270</v>
      </c>
      <c r="D29">
        <f>IFERROR(SUMIF('New UZAs'!$I$3:$I$23,B29,'New UZAs'!$J$3:$J$23),"")</f>
        <v>656500</v>
      </c>
      <c r="E29">
        <f>SUMIF('Removed UZAs (now rural)'!$C$25:$C$33,'States States'!B29,'Removed UZAs (now rural)'!$D$25:$D$33)</f>
        <v>0</v>
      </c>
      <c r="F29" s="1">
        <f t="shared" si="0"/>
        <v>4631770</v>
      </c>
      <c r="G29">
        <f t="shared" si="1"/>
        <v>1</v>
      </c>
    </row>
    <row r="30" spans="1:12" x14ac:dyDescent="0.25">
      <c r="A30" s="18" t="s">
        <v>127</v>
      </c>
      <c r="B30" t="s">
        <v>128</v>
      </c>
      <c r="C30" s="1">
        <v>3718918</v>
      </c>
      <c r="D30">
        <f>IFERROR(SUMIF('New UZAs'!$I$3:$I$23,B30,'New UZAs'!$J$3:$J$23),"")</f>
        <v>0</v>
      </c>
      <c r="E30">
        <f>SUMIF('Removed UZAs (now rural)'!$C$25:$C$33,'States States'!B30,'Removed UZAs (now rural)'!$D$25:$D$33)</f>
        <v>0</v>
      </c>
      <c r="F30" s="1">
        <f t="shared" si="0"/>
        <v>3718918</v>
      </c>
      <c r="G30">
        <f t="shared" si="1"/>
        <v>0</v>
      </c>
    </row>
    <row r="31" spans="1:12" x14ac:dyDescent="0.25">
      <c r="A31" s="18" t="s">
        <v>69</v>
      </c>
      <c r="B31" t="s">
        <v>70</v>
      </c>
      <c r="C31" s="1">
        <v>2317353</v>
      </c>
      <c r="D31">
        <f>IFERROR(SUMIF('New UZAs'!$I$3:$I$23,B31,'New UZAs'!$J$3:$J$23),"")</f>
        <v>0</v>
      </c>
      <c r="E31">
        <f>SUMIF('Removed UZAs (now rural)'!$C$25:$C$33,'States States'!B31,'Removed UZAs (now rural)'!$D$25:$D$33)</f>
        <v>0</v>
      </c>
      <c r="F31" s="1">
        <f t="shared" si="0"/>
        <v>2317353</v>
      </c>
      <c r="G31">
        <f t="shared" si="1"/>
        <v>0</v>
      </c>
    </row>
    <row r="32" spans="1:12" x14ac:dyDescent="0.25">
      <c r="A32" s="18" t="s">
        <v>129</v>
      </c>
      <c r="B32" t="s">
        <v>130</v>
      </c>
      <c r="C32" s="1">
        <v>1243608</v>
      </c>
      <c r="D32">
        <f>IFERROR(SUMIF('New UZAs'!$I$3:$I$23,B32,'New UZAs'!$J$3:$J$23),"")</f>
        <v>0</v>
      </c>
      <c r="E32">
        <f>SUMIF('Removed UZAs (now rural)'!$C$25:$C$33,'States States'!B32,'Removed UZAs (now rural)'!$D$25:$D$33)</f>
        <v>0</v>
      </c>
      <c r="F32" s="1">
        <f t="shared" si="0"/>
        <v>1243608</v>
      </c>
      <c r="G32">
        <f t="shared" si="1"/>
        <v>0</v>
      </c>
    </row>
    <row r="33" spans="1:7" x14ac:dyDescent="0.25">
      <c r="A33" s="18" t="s">
        <v>131</v>
      </c>
      <c r="B33" t="s">
        <v>132</v>
      </c>
      <c r="C33" s="1">
        <v>2250328</v>
      </c>
      <c r="D33">
        <f>IFERROR(SUMIF('New UZAs'!$I$3:$I$23,B33,'New UZAs'!$J$3:$J$23),"")</f>
        <v>0</v>
      </c>
      <c r="E33">
        <f>SUMIF('Removed UZAs (now rural)'!$C$25:$C$33,'States States'!B33,'Removed UZAs (now rural)'!$D$25:$D$33)</f>
        <v>528725</v>
      </c>
      <c r="F33" s="1">
        <f t="shared" si="0"/>
        <v>2779053</v>
      </c>
      <c r="G33">
        <f t="shared" si="1"/>
        <v>1</v>
      </c>
    </row>
    <row r="34" spans="1:7" x14ac:dyDescent="0.25">
      <c r="A34" s="18" t="s">
        <v>133</v>
      </c>
      <c r="B34" t="s">
        <v>134</v>
      </c>
      <c r="C34" s="1">
        <v>5384909</v>
      </c>
      <c r="D34">
        <f>IFERROR(SUMIF('New UZAs'!$I$3:$I$23,B34,'New UZAs'!$J$3:$J$23),"")</f>
        <v>324187</v>
      </c>
      <c r="E34">
        <f>SUMIF('Removed UZAs (now rural)'!$C$25:$C$33,'States States'!B34,'Removed UZAs (now rural)'!$D$25:$D$33)</f>
        <v>0</v>
      </c>
      <c r="F34" s="1">
        <f t="shared" si="0"/>
        <v>5060722</v>
      </c>
      <c r="G34">
        <f t="shared" si="1"/>
        <v>1</v>
      </c>
    </row>
    <row r="35" spans="1:7" x14ac:dyDescent="0.25">
      <c r="A35" s="18" t="s">
        <v>135</v>
      </c>
      <c r="B35" t="s">
        <v>136</v>
      </c>
      <c r="C35" s="1">
        <v>15002211</v>
      </c>
      <c r="D35">
        <f>IFERROR(SUMIF('New UZAs'!$I$3:$I$23,B35,'New UZAs'!$J$3:$J$23),"")</f>
        <v>0</v>
      </c>
      <c r="E35">
        <f>SUMIF('Removed UZAs (now rural)'!$C$25:$C$33,'States States'!B35,'Removed UZAs (now rural)'!$D$25:$D$33)</f>
        <v>0</v>
      </c>
      <c r="F35" s="1">
        <f t="shared" ref="F35:F58" si="2">C35-D35+E35</f>
        <v>15002211</v>
      </c>
      <c r="G35">
        <f t="shared" ref="G35:G58" si="3">IF(SUM(D35:E35)=0,0,1)</f>
        <v>0</v>
      </c>
    </row>
    <row r="36" spans="1:7" x14ac:dyDescent="0.25">
      <c r="A36" s="18" t="s">
        <v>137</v>
      </c>
      <c r="B36" t="s">
        <v>138</v>
      </c>
      <c r="C36" s="1">
        <v>32344992</v>
      </c>
      <c r="D36">
        <f>IFERROR(SUMIF('New UZAs'!$I$3:$I$23,B36,'New UZAs'!$J$3:$J$23),"")</f>
        <v>517410</v>
      </c>
      <c r="E36">
        <f>SUMIF('Removed UZAs (now rural)'!$C$25:$C$33,'States States'!B36,'Removed UZAs (now rural)'!$D$25:$D$33)</f>
        <v>0</v>
      </c>
      <c r="F36" s="1">
        <f t="shared" si="2"/>
        <v>31827582</v>
      </c>
      <c r="G36">
        <f t="shared" si="3"/>
        <v>1</v>
      </c>
    </row>
    <row r="37" spans="1:7" x14ac:dyDescent="0.25">
      <c r="A37" s="18" t="s">
        <v>139</v>
      </c>
      <c r="B37" t="s">
        <v>140</v>
      </c>
      <c r="C37" s="1">
        <v>3444377</v>
      </c>
      <c r="D37">
        <f>IFERROR(SUMIF('New UZAs'!$I$3:$I$23,B37,'New UZAs'!$J$3:$J$23),"")</f>
        <v>159440</v>
      </c>
      <c r="E37">
        <f>SUMIF('Removed UZAs (now rural)'!$C$25:$C$33,'States States'!B37,'Removed UZAs (now rural)'!$D$25:$D$33)</f>
        <v>0</v>
      </c>
      <c r="F37" s="1">
        <f t="shared" si="2"/>
        <v>3284937</v>
      </c>
      <c r="G37">
        <f t="shared" si="3"/>
        <v>1</v>
      </c>
    </row>
    <row r="38" spans="1:7" x14ac:dyDescent="0.25">
      <c r="A38" s="18" t="s">
        <v>141</v>
      </c>
      <c r="B38" t="s">
        <v>142</v>
      </c>
      <c r="C38" s="1">
        <v>14412330</v>
      </c>
      <c r="D38">
        <f>IFERROR(SUMIF('New UZAs'!$I$3:$I$23,B38,'New UZAs'!$J$3:$J$23),"")</f>
        <v>336526.87333953514</v>
      </c>
      <c r="E38">
        <f>SUMIF('Removed UZAs (now rural)'!$C$25:$C$33,'States States'!B38,'Removed UZAs (now rural)'!$D$25:$D$33)</f>
        <v>0</v>
      </c>
      <c r="F38" s="1">
        <f t="shared" si="2"/>
        <v>14075803.126660464</v>
      </c>
      <c r="G38">
        <f t="shared" si="3"/>
        <v>1</v>
      </c>
    </row>
    <row r="39" spans="1:7" x14ac:dyDescent="0.25">
      <c r="A39" s="18" t="s">
        <v>143</v>
      </c>
      <c r="B39" t="s">
        <v>144</v>
      </c>
      <c r="C39" s="1">
        <v>20044354</v>
      </c>
      <c r="D39">
        <f>IFERROR(SUMIF('New UZAs'!$I$3:$I$23,B39,'New UZAs'!$J$3:$J$23),"")</f>
        <v>926542</v>
      </c>
      <c r="E39">
        <f>SUMIF('Removed UZAs (now rural)'!$C$25:$C$33,'States States'!B39,'Removed UZAs (now rural)'!$D$25:$D$33)</f>
        <v>0</v>
      </c>
      <c r="F39" s="1">
        <f t="shared" si="2"/>
        <v>19117812</v>
      </c>
      <c r="G39">
        <f t="shared" si="3"/>
        <v>1</v>
      </c>
    </row>
    <row r="40" spans="1:7" x14ac:dyDescent="0.25">
      <c r="A40" s="18" t="s">
        <v>145</v>
      </c>
      <c r="B40" t="s">
        <v>146</v>
      </c>
      <c r="C40" s="1">
        <v>10756618</v>
      </c>
      <c r="D40">
        <f>IFERROR(SUMIF('New UZAs'!$I$3:$I$23,B40,'New UZAs'!$J$3:$J$23),"")</f>
        <v>0</v>
      </c>
      <c r="E40">
        <f>SUMIF('Removed UZAs (now rural)'!$C$25:$C$33,'States States'!B40,'Removed UZAs (now rural)'!$D$25:$D$33)</f>
        <v>0</v>
      </c>
      <c r="F40" s="1">
        <f t="shared" si="2"/>
        <v>10756618</v>
      </c>
      <c r="G40">
        <f t="shared" si="3"/>
        <v>0</v>
      </c>
    </row>
    <row r="41" spans="1:7" x14ac:dyDescent="0.25">
      <c r="A41" s="18" t="s">
        <v>147</v>
      </c>
      <c r="B41" t="s">
        <v>148</v>
      </c>
      <c r="C41" s="1">
        <v>13642483</v>
      </c>
      <c r="D41">
        <f>IFERROR(SUMIF('New UZAs'!$I$3:$I$23,B41,'New UZAs'!$J$3:$J$23),"")</f>
        <v>0</v>
      </c>
      <c r="E41">
        <f>SUMIF('Removed UZAs (now rural)'!$C$25:$C$33,'States States'!B41,'Removed UZAs (now rural)'!$D$25:$D$33)</f>
        <v>1258159.9625040945</v>
      </c>
      <c r="F41" s="1">
        <f t="shared" si="2"/>
        <v>14900642.962504094</v>
      </c>
      <c r="G41">
        <f t="shared" si="3"/>
        <v>1</v>
      </c>
    </row>
    <row r="42" spans="1:7" x14ac:dyDescent="0.25">
      <c r="A42" s="18" t="s">
        <v>149</v>
      </c>
      <c r="B42" t="s">
        <v>150</v>
      </c>
      <c r="C42" s="1">
        <v>182344</v>
      </c>
      <c r="D42">
        <f>IFERROR(SUMIF('New UZAs'!$I$3:$I$23,B42,'New UZAs'!$J$3:$J$23),"")</f>
        <v>0</v>
      </c>
      <c r="E42">
        <f>SUMIF('Removed UZAs (now rural)'!$C$25:$C$33,'States States'!B42,'Removed UZAs (now rural)'!$D$25:$D$33)</f>
        <v>0</v>
      </c>
      <c r="F42" s="1">
        <f t="shared" si="2"/>
        <v>182344</v>
      </c>
      <c r="G42">
        <f t="shared" si="3"/>
        <v>0</v>
      </c>
    </row>
    <row r="43" spans="1:7" x14ac:dyDescent="0.25">
      <c r="A43" s="18" t="s">
        <v>151</v>
      </c>
      <c r="B43" t="s">
        <v>152</v>
      </c>
      <c r="C43" s="1">
        <v>8594015</v>
      </c>
      <c r="D43">
        <f>IFERROR(SUMIF('New UZAs'!$I$3:$I$23,B43,'New UZAs'!$J$3:$J$23),"")</f>
        <v>119114.69514065071</v>
      </c>
      <c r="E43">
        <f>SUMIF('Removed UZAs (now rural)'!$C$25:$C$33,'States States'!B43,'Removed UZAs (now rural)'!$D$25:$D$33)</f>
        <v>0</v>
      </c>
      <c r="F43" s="1">
        <f t="shared" si="2"/>
        <v>8474900.3048593495</v>
      </c>
      <c r="G43">
        <f t="shared" si="3"/>
        <v>1</v>
      </c>
    </row>
    <row r="44" spans="1:7" x14ac:dyDescent="0.25">
      <c r="A44" s="18" t="s">
        <v>153</v>
      </c>
      <c r="B44" t="s">
        <v>154</v>
      </c>
      <c r="C44" s="1">
        <v>5565670</v>
      </c>
      <c r="D44">
        <f>IFERROR(SUMIF('New UZAs'!$I$3:$I$23,B44,'New UZAs'!$J$3:$J$23),"")</f>
        <v>0</v>
      </c>
      <c r="E44">
        <f>SUMIF('Removed UZAs (now rural)'!$C$25:$C$33,'States States'!B44,'Removed UZAs (now rural)'!$D$25:$D$33)</f>
        <v>0</v>
      </c>
      <c r="F44" s="1">
        <f t="shared" si="2"/>
        <v>5565670</v>
      </c>
      <c r="G44">
        <f t="shared" si="3"/>
        <v>0</v>
      </c>
    </row>
    <row r="45" spans="1:7" x14ac:dyDescent="0.25">
      <c r="A45" s="18" t="s">
        <v>155</v>
      </c>
      <c r="B45" t="s">
        <v>156</v>
      </c>
      <c r="C45" s="1">
        <v>24088407</v>
      </c>
      <c r="D45">
        <f>IFERROR(SUMIF('New UZAs'!$I$3:$I$23,B45,'New UZAs'!$J$3:$J$23),"")</f>
        <v>409008.07264820038</v>
      </c>
      <c r="E45">
        <f>SUMIF('Removed UZAs (now rural)'!$C$25:$C$33,'States States'!B45,'Removed UZAs (now rural)'!$D$25:$D$33)</f>
        <v>0</v>
      </c>
      <c r="F45" s="1">
        <f t="shared" si="2"/>
        <v>23679398.927351799</v>
      </c>
      <c r="G45">
        <f t="shared" si="3"/>
        <v>1</v>
      </c>
    </row>
    <row r="46" spans="1:7" x14ac:dyDescent="0.25">
      <c r="A46" s="18" t="s">
        <v>157</v>
      </c>
      <c r="B46" t="s">
        <v>158</v>
      </c>
      <c r="C46" s="1">
        <v>26981044</v>
      </c>
      <c r="D46">
        <f>IFERROR(SUMIF('New UZAs'!$I$3:$I$23,B46,'New UZAs'!$J$3:$J$23),"")</f>
        <v>505955.44579994027</v>
      </c>
      <c r="E46">
        <f>SUMIF('Removed UZAs (now rural)'!$C$25:$C$33,'States States'!B46,'Removed UZAs (now rural)'!$D$25:$D$33)</f>
        <v>0</v>
      </c>
      <c r="F46" s="1">
        <f t="shared" si="2"/>
        <v>26475088.554200061</v>
      </c>
      <c r="G46">
        <f t="shared" si="3"/>
        <v>1</v>
      </c>
    </row>
    <row r="47" spans="1:7" x14ac:dyDescent="0.25">
      <c r="A47" s="18" t="s">
        <v>159</v>
      </c>
      <c r="B47" t="s">
        <v>160</v>
      </c>
      <c r="C47" s="1">
        <v>4338384</v>
      </c>
      <c r="D47">
        <f>IFERROR(SUMIF('New UZAs'!$I$3:$I$23,B47,'New UZAs'!$J$3:$J$23),"")</f>
        <v>0</v>
      </c>
      <c r="E47">
        <f>SUMIF('Removed UZAs (now rural)'!$C$25:$C$33,'States States'!B47,'Removed UZAs (now rural)'!$D$25:$D$33)</f>
        <v>0</v>
      </c>
      <c r="F47" s="1">
        <f t="shared" si="2"/>
        <v>4338384</v>
      </c>
      <c r="G47">
        <f t="shared" si="3"/>
        <v>0</v>
      </c>
    </row>
    <row r="48" spans="1:7" x14ac:dyDescent="0.25">
      <c r="A48" s="18" t="s">
        <v>161</v>
      </c>
      <c r="B48" t="s">
        <v>162</v>
      </c>
      <c r="C48" s="1">
        <v>16124172</v>
      </c>
      <c r="D48">
        <f>IFERROR(SUMIF('New UZAs'!$I$3:$I$23,B48,'New UZAs'!$J$3:$J$23),"")</f>
        <v>0</v>
      </c>
      <c r="E48">
        <f>SUMIF('Removed UZAs (now rural)'!$C$25:$C$33,'States States'!B48,'Removed UZAs (now rural)'!$D$25:$D$33)</f>
        <v>0</v>
      </c>
      <c r="F48" s="1">
        <f t="shared" si="2"/>
        <v>16124172</v>
      </c>
      <c r="G48">
        <f t="shared" si="3"/>
        <v>0</v>
      </c>
    </row>
    <row r="49" spans="1:7" x14ac:dyDescent="0.25">
      <c r="A49" s="18" t="s">
        <v>163</v>
      </c>
      <c r="B49" t="s">
        <v>164</v>
      </c>
      <c r="C49" s="1">
        <v>10534071</v>
      </c>
      <c r="D49">
        <f>IFERROR(SUMIF('New UZAs'!$I$3:$I$23,B49,'New UZAs'!$J$3:$J$23),"")</f>
        <v>0</v>
      </c>
      <c r="E49">
        <f>SUMIF('Removed UZAs (now rural)'!$C$25:$C$33,'States States'!B49,'Removed UZAs (now rural)'!$D$25:$D$33)</f>
        <v>0</v>
      </c>
      <c r="F49" s="1">
        <f t="shared" si="2"/>
        <v>10534071</v>
      </c>
      <c r="G49">
        <f t="shared" si="3"/>
        <v>0</v>
      </c>
    </row>
    <row r="50" spans="1:7" x14ac:dyDescent="0.25">
      <c r="A50" s="18" t="s">
        <v>165</v>
      </c>
      <c r="B50" t="s">
        <v>166</v>
      </c>
      <c r="C50" s="1">
        <v>18808351</v>
      </c>
      <c r="D50">
        <f>IFERROR(SUMIF('New UZAs'!$I$3:$I$23,B50,'New UZAs'!$J$3:$J$23),"")</f>
        <v>0</v>
      </c>
      <c r="E50">
        <f>SUMIF('Removed UZAs (now rural)'!$C$25:$C$33,'States States'!B50,'Removed UZAs (now rural)'!$D$25:$D$33)</f>
        <v>0</v>
      </c>
      <c r="F50" s="1">
        <f t="shared" si="2"/>
        <v>18808351</v>
      </c>
      <c r="G50">
        <f t="shared" si="3"/>
        <v>0</v>
      </c>
    </row>
    <row r="51" spans="1:7" x14ac:dyDescent="0.25">
      <c r="A51" s="18" t="s">
        <v>167</v>
      </c>
      <c r="B51" t="s">
        <v>168</v>
      </c>
      <c r="C51" s="1">
        <v>4474110</v>
      </c>
      <c r="D51">
        <f>IFERROR(SUMIF('New UZAs'!$I$3:$I$23,B51,'New UZAs'!$J$3:$J$23),"")</f>
        <v>0</v>
      </c>
      <c r="E51">
        <f>SUMIF('Removed UZAs (now rural)'!$C$25:$C$33,'States States'!B51,'Removed UZAs (now rural)'!$D$25:$D$33)</f>
        <v>12040.311990597122</v>
      </c>
      <c r="F51" s="1">
        <f t="shared" si="2"/>
        <v>4486150.3119905973</v>
      </c>
      <c r="G51">
        <f t="shared" si="3"/>
        <v>1</v>
      </c>
    </row>
    <row r="52" spans="1:7" x14ac:dyDescent="0.25">
      <c r="A52" s="18" t="s">
        <v>169</v>
      </c>
      <c r="B52" t="s">
        <v>170</v>
      </c>
      <c r="C52" s="1">
        <v>11844294</v>
      </c>
      <c r="D52">
        <f>IFERROR(SUMIF('New UZAs'!$I$3:$I$23,B52,'New UZAs'!$J$3:$J$23),"")</f>
        <v>0</v>
      </c>
      <c r="E52">
        <f>SUMIF('Removed UZAs (now rural)'!$C$25:$C$33,'States States'!B52,'Removed UZAs (now rural)'!$D$25:$D$33)</f>
        <v>0</v>
      </c>
      <c r="F52" s="1">
        <f t="shared" si="2"/>
        <v>11844294</v>
      </c>
      <c r="G52">
        <f t="shared" si="3"/>
        <v>0</v>
      </c>
    </row>
    <row r="53" spans="1:7" x14ac:dyDescent="0.25">
      <c r="A53" s="18" t="s">
        <v>171</v>
      </c>
      <c r="B53" t="s">
        <v>172</v>
      </c>
      <c r="C53" s="1">
        <v>2837214</v>
      </c>
      <c r="D53">
        <f>IFERROR(SUMIF('New UZAs'!$I$3:$I$23,B53,'New UZAs'!$J$3:$J$23),"")</f>
        <v>0</v>
      </c>
      <c r="E53">
        <f>SUMIF('Removed UZAs (now rural)'!$C$25:$C$33,'States States'!B53,'Removed UZAs (now rural)'!$D$25:$D$33)</f>
        <v>0</v>
      </c>
      <c r="F53" s="1">
        <f t="shared" si="2"/>
        <v>2837214</v>
      </c>
      <c r="G53">
        <f t="shared" si="3"/>
        <v>0</v>
      </c>
    </row>
    <row r="54" spans="1:7" x14ac:dyDescent="0.25">
      <c r="A54" s="18" t="s">
        <v>175</v>
      </c>
      <c r="B54" t="s">
        <v>176</v>
      </c>
      <c r="C54" s="1">
        <v>147007</v>
      </c>
      <c r="D54">
        <f>IFERROR(SUMIF('New UZAs'!$I$3:$I$23,B54,'New UZAs'!$J$3:$J$23),"")</f>
        <v>0</v>
      </c>
      <c r="E54">
        <f>SUMIF('Removed UZAs (now rural)'!$C$25:$C$33,'States States'!B55,'Removed UZAs (now rural)'!$D$25:$D$33)</f>
        <v>0</v>
      </c>
      <c r="F54" s="1">
        <f t="shared" si="2"/>
        <v>147007</v>
      </c>
      <c r="G54">
        <f t="shared" si="3"/>
        <v>0</v>
      </c>
    </row>
    <row r="55" spans="1:7" x14ac:dyDescent="0.25">
      <c r="A55" t="s">
        <v>177</v>
      </c>
      <c r="B55" t="s">
        <v>178</v>
      </c>
      <c r="C55" s="1">
        <v>406445</v>
      </c>
      <c r="D55">
        <f>IFERROR(SUMIF('New UZAs'!$I$3:$I$23,B55,'New UZAs'!$J$3:$J$23),"")</f>
        <v>0</v>
      </c>
      <c r="E55">
        <f>SUMIF('Removed UZAs (now rural)'!$C$25:$C$33,'States States'!B56,'Removed UZAs (now rural)'!$D$25:$D$33)</f>
        <v>0</v>
      </c>
      <c r="F55" s="1">
        <f t="shared" si="2"/>
        <v>406445</v>
      </c>
      <c r="G55">
        <f t="shared" si="3"/>
        <v>0</v>
      </c>
    </row>
    <row r="56" spans="1:7" x14ac:dyDescent="0.25">
      <c r="A56" t="s">
        <v>179</v>
      </c>
      <c r="B56" t="s">
        <v>180</v>
      </c>
      <c r="C56" s="1">
        <v>49633</v>
      </c>
      <c r="D56">
        <f>IFERROR(SUMIF('New UZAs'!$I$3:$I$23,B56,'New UZAs'!$J$3:$J$23),"")</f>
        <v>0</v>
      </c>
      <c r="E56">
        <f>SUMIF('Removed UZAs (now rural)'!$C$25:$C$33,'States States'!B57,'Removed UZAs (now rural)'!$D$25:$D$33)</f>
        <v>0</v>
      </c>
      <c r="F56" s="1">
        <f t="shared" si="2"/>
        <v>49633</v>
      </c>
      <c r="G56">
        <f t="shared" si="3"/>
        <v>0</v>
      </c>
    </row>
    <row r="57" spans="1:7" x14ac:dyDescent="0.25">
      <c r="A57" s="43" t="s">
        <v>173</v>
      </c>
      <c r="B57" t="s">
        <v>174</v>
      </c>
      <c r="C57" s="1">
        <v>835054</v>
      </c>
      <c r="D57">
        <f>IFERROR(SUMIF('New UZAs'!$I$3:$I$23,B57,'New UZAs'!$J$3:$J$23),"")</f>
        <v>0</v>
      </c>
      <c r="E57">
        <f>SUMIF('Removed UZAs (now rural)'!$C$25:$C$33,'States States'!B54,'Removed UZAs (now rural)'!$D$25:$D$33)</f>
        <v>0</v>
      </c>
      <c r="F57" s="1">
        <f t="shared" si="2"/>
        <v>835054</v>
      </c>
      <c r="G57">
        <f t="shared" si="3"/>
        <v>0</v>
      </c>
    </row>
    <row r="58" spans="1:7" x14ac:dyDescent="0.25">
      <c r="A58" t="s">
        <v>181</v>
      </c>
      <c r="B58" t="s">
        <v>182</v>
      </c>
      <c r="C58" s="1">
        <v>0</v>
      </c>
      <c r="D58">
        <f>IFERROR(SUMIF('New UZAs'!$I$3:$I$23,B58,'New UZAs'!$J$3:$J$23),"")</f>
        <v>0</v>
      </c>
      <c r="E58">
        <f>SUMIF('Removed UZAs (now rural)'!$C$25:$C$33,'States States'!B58,'Removed UZAs (now rural)'!$D$25:$D$33)</f>
        <v>0</v>
      </c>
      <c r="F58" s="1">
        <f t="shared" si="2"/>
        <v>0</v>
      </c>
      <c r="G58">
        <f t="shared" si="3"/>
        <v>0</v>
      </c>
    </row>
    <row r="59" spans="1:7" x14ac:dyDescent="0.25">
      <c r="C59" s="1"/>
      <c r="F59" s="1"/>
    </row>
    <row r="60" spans="1:7" x14ac:dyDescent="0.25">
      <c r="C60" s="1">
        <f>SUM(C3:C58)</f>
        <v>587323851</v>
      </c>
      <c r="D60" s="1">
        <f>SUM(D3:D58)</f>
        <v>7837479.6648600707</v>
      </c>
      <c r="E60" s="1">
        <f>SUM(E3:E58)</f>
        <v>3144842</v>
      </c>
      <c r="F60" s="1">
        <f>SUM(F3:F58)</f>
        <v>582631213.33513987</v>
      </c>
      <c r="G60" s="1">
        <f>SUM(G3:G58)</f>
        <v>23</v>
      </c>
    </row>
    <row r="62" spans="1:7" x14ac:dyDescent="0.25">
      <c r="B62" s="29" t="s">
        <v>214</v>
      </c>
    </row>
    <row r="63" spans="1:7" x14ac:dyDescent="0.25">
      <c r="B63" t="s">
        <v>215</v>
      </c>
      <c r="C63" s="1">
        <f>C60</f>
        <v>587323851</v>
      </c>
    </row>
    <row r="64" spans="1:7" x14ac:dyDescent="0.25">
      <c r="B64" t="s">
        <v>216</v>
      </c>
      <c r="C64" s="1">
        <f>D60</f>
        <v>7837479.6648600707</v>
      </c>
    </row>
    <row r="65" spans="2:3" x14ac:dyDescent="0.25">
      <c r="B65" t="s">
        <v>217</v>
      </c>
      <c r="C65" s="1">
        <f>E60</f>
        <v>3144842</v>
      </c>
    </row>
    <row r="66" spans="2:3" x14ac:dyDescent="0.25">
      <c r="B66" s="29" t="s">
        <v>218</v>
      </c>
      <c r="C66" s="28">
        <f>C63-C64+C65</f>
        <v>582631213.33513987</v>
      </c>
    </row>
  </sheetData>
  <autoFilter ref="A2:G58" xr:uid="{CD397CBA-0AA8-4EE4-89F8-505187BC69E5}">
    <sortState xmlns:xlrd2="http://schemas.microsoft.com/office/spreadsheetml/2017/richdata2" ref="A3:G58">
      <sortCondition ref="A2:A58"/>
    </sortState>
  </autoFilter>
  <mergeCells count="2">
    <mergeCell ref="A1:C1"/>
    <mergeCell ref="D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6A9B-9E51-4691-AE19-C5F10CF7EDFA}">
  <dimension ref="B2:F25"/>
  <sheetViews>
    <sheetView workbookViewId="0">
      <selection activeCell="C3" sqref="C3:D21"/>
    </sheetView>
  </sheetViews>
  <sheetFormatPr defaultRowHeight="15" x14ac:dyDescent="0.25"/>
  <cols>
    <col min="3" max="3" width="13.85546875" bestFit="1" customWidth="1"/>
    <col min="4" max="4" width="12.7109375" bestFit="1" customWidth="1"/>
    <col min="6" max="6" width="15.5703125" bestFit="1" customWidth="1"/>
  </cols>
  <sheetData>
    <row r="2" spans="2:6" x14ac:dyDescent="0.25">
      <c r="B2" t="s">
        <v>247</v>
      </c>
      <c r="C2" t="s">
        <v>258</v>
      </c>
      <c r="D2" t="s">
        <v>259</v>
      </c>
      <c r="E2" t="s">
        <v>260</v>
      </c>
      <c r="F2" t="s">
        <v>261</v>
      </c>
    </row>
    <row r="3" spans="2:6" x14ac:dyDescent="0.25">
      <c r="B3" t="s">
        <v>250</v>
      </c>
      <c r="C3" s="2">
        <v>851119843</v>
      </c>
      <c r="D3" s="2">
        <v>91037433</v>
      </c>
      <c r="E3" s="37">
        <v>9.3491195319621987</v>
      </c>
      <c r="F3">
        <v>676</v>
      </c>
    </row>
    <row r="4" spans="2:6" x14ac:dyDescent="0.25">
      <c r="B4" t="s">
        <v>262</v>
      </c>
      <c r="C4" s="2">
        <v>93818562</v>
      </c>
      <c r="D4" s="2">
        <v>8977331</v>
      </c>
      <c r="E4" s="37">
        <v>10.450607424411555</v>
      </c>
      <c r="F4">
        <v>94</v>
      </c>
    </row>
    <row r="5" spans="2:6" x14ac:dyDescent="0.25">
      <c r="B5" t="s">
        <v>263</v>
      </c>
      <c r="C5" s="2">
        <v>519783858</v>
      </c>
      <c r="D5" s="2">
        <v>79821801</v>
      </c>
      <c r="E5" s="37">
        <v>6.511803185197488</v>
      </c>
      <c r="F5">
        <v>35</v>
      </c>
    </row>
    <row r="6" spans="2:6" x14ac:dyDescent="0.25">
      <c r="B6" t="s">
        <v>264</v>
      </c>
      <c r="C6" s="2">
        <v>16422886134</v>
      </c>
      <c r="D6" s="2">
        <v>4402024966</v>
      </c>
      <c r="E6" s="37">
        <v>3.7307571540020201</v>
      </c>
      <c r="F6">
        <v>659</v>
      </c>
    </row>
    <row r="7" spans="2:6" x14ac:dyDescent="0.25">
      <c r="B7" t="s">
        <v>265</v>
      </c>
      <c r="C7" s="2">
        <v>107211487</v>
      </c>
      <c r="D7" s="2">
        <v>55652262</v>
      </c>
      <c r="E7" s="37">
        <v>1.9264533578167946</v>
      </c>
      <c r="F7">
        <v>20</v>
      </c>
    </row>
    <row r="8" spans="2:6" x14ac:dyDescent="0.25">
      <c r="B8" t="s">
        <v>266</v>
      </c>
      <c r="C8" s="2">
        <v>126282285</v>
      </c>
      <c r="D8" s="2">
        <v>76889970</v>
      </c>
      <c r="E8" s="37">
        <v>1.6423765674508652</v>
      </c>
      <c r="F8">
        <v>5</v>
      </c>
    </row>
    <row r="9" spans="2:6" x14ac:dyDescent="0.25">
      <c r="B9" t="s">
        <v>267</v>
      </c>
      <c r="C9" s="2">
        <v>1256086222</v>
      </c>
      <c r="D9" s="2">
        <v>34131021</v>
      </c>
      <c r="E9" s="37">
        <v>36.801894147848671</v>
      </c>
      <c r="F9">
        <v>188</v>
      </c>
    </row>
    <row r="10" spans="2:6" x14ac:dyDescent="0.25">
      <c r="B10" t="s">
        <v>249</v>
      </c>
      <c r="C10" s="2">
        <v>2040471290</v>
      </c>
      <c r="D10" s="2">
        <v>85563685</v>
      </c>
      <c r="E10" s="37">
        <v>23.847398461157908</v>
      </c>
      <c r="F10">
        <v>152</v>
      </c>
    </row>
    <row r="11" spans="2:6" x14ac:dyDescent="0.25">
      <c r="B11" t="s">
        <v>268</v>
      </c>
      <c r="C11" s="2">
        <v>161228125</v>
      </c>
      <c r="D11" s="2">
        <v>61372730</v>
      </c>
      <c r="E11" s="37">
        <v>2.6270319896149315</v>
      </c>
      <c r="F11">
        <v>11</v>
      </c>
    </row>
    <row r="12" spans="2:6" x14ac:dyDescent="0.25">
      <c r="B12" t="s">
        <v>269</v>
      </c>
      <c r="C12" s="2">
        <v>2537626485</v>
      </c>
      <c r="D12" s="2">
        <v>487015285</v>
      </c>
      <c r="E12" s="37">
        <v>5.2105684629590217</v>
      </c>
      <c r="F12">
        <v>23</v>
      </c>
    </row>
    <row r="13" spans="2:6" x14ac:dyDescent="0.25">
      <c r="B13" t="s">
        <v>270</v>
      </c>
      <c r="C13" s="2">
        <v>83640089</v>
      </c>
      <c r="D13" s="2">
        <v>7085806</v>
      </c>
      <c r="E13" s="37">
        <v>11.803892034300684</v>
      </c>
      <c r="F13">
        <v>6</v>
      </c>
    </row>
    <row r="14" spans="2:6" x14ac:dyDescent="0.25">
      <c r="B14" t="s">
        <v>271</v>
      </c>
      <c r="C14" s="2">
        <v>20038811</v>
      </c>
      <c r="D14" s="2">
        <v>16545002</v>
      </c>
      <c r="E14" s="37">
        <v>1.2111700560688963</v>
      </c>
      <c r="F14">
        <v>6</v>
      </c>
    </row>
    <row r="15" spans="2:6" x14ac:dyDescent="0.25">
      <c r="B15" t="s">
        <v>272</v>
      </c>
      <c r="C15" s="2">
        <v>12609891158</v>
      </c>
      <c r="D15" s="2">
        <v>500722139</v>
      </c>
      <c r="E15" s="37">
        <v>25.183410470292788</v>
      </c>
      <c r="F15">
        <v>56</v>
      </c>
    </row>
    <row r="16" spans="2:6" x14ac:dyDescent="0.25">
      <c r="B16" t="s">
        <v>273</v>
      </c>
      <c r="C16" s="2">
        <v>24178130</v>
      </c>
      <c r="D16" s="2">
        <v>199666</v>
      </c>
      <c r="E16" s="37">
        <v>121.09287510141937</v>
      </c>
      <c r="F16">
        <v>3</v>
      </c>
    </row>
    <row r="17" spans="2:6" x14ac:dyDescent="0.25">
      <c r="B17" t="s">
        <v>274</v>
      </c>
      <c r="C17" s="2">
        <v>1323526</v>
      </c>
      <c r="D17" s="2">
        <v>2068009</v>
      </c>
      <c r="E17" s="37">
        <v>0.64000011605365359</v>
      </c>
      <c r="F17">
        <v>1</v>
      </c>
    </row>
    <row r="18" spans="2:6" x14ac:dyDescent="0.25">
      <c r="B18" t="s">
        <v>275</v>
      </c>
      <c r="C18" s="2">
        <v>16914100309</v>
      </c>
      <c r="D18" s="2">
        <v>3724442285</v>
      </c>
      <c r="E18" s="37">
        <v>4.5413780143998119</v>
      </c>
      <c r="F18">
        <v>17</v>
      </c>
    </row>
    <row r="19" spans="2:6" x14ac:dyDescent="0.25">
      <c r="B19" t="s">
        <v>276</v>
      </c>
      <c r="C19" s="2">
        <v>569633</v>
      </c>
      <c r="D19" s="2">
        <v>1151462</v>
      </c>
      <c r="E19" s="37">
        <v>0.49470412397456454</v>
      </c>
      <c r="F19">
        <v>3</v>
      </c>
    </row>
    <row r="20" spans="2:6" x14ac:dyDescent="0.25">
      <c r="B20" t="s">
        <v>277</v>
      </c>
      <c r="C20" s="2">
        <v>52179015</v>
      </c>
      <c r="D20" s="2">
        <v>12888313</v>
      </c>
      <c r="E20" s="37">
        <v>4.0485527469731686</v>
      </c>
      <c r="F20">
        <v>12</v>
      </c>
    </row>
    <row r="21" spans="2:6" x14ac:dyDescent="0.25">
      <c r="B21" t="s">
        <v>278</v>
      </c>
      <c r="C21" s="2">
        <v>7880988</v>
      </c>
      <c r="D21" s="2">
        <v>6292346</v>
      </c>
      <c r="E21" s="37">
        <v>1.2524721304263942</v>
      </c>
      <c r="F21">
        <v>1</v>
      </c>
    </row>
    <row r="24" spans="2:6" x14ac:dyDescent="0.25">
      <c r="B24" t="s">
        <v>279</v>
      </c>
    </row>
    <row r="25" spans="2:6" x14ac:dyDescent="0.25">
      <c r="B25" t="s">
        <v>280</v>
      </c>
      <c r="C25" s="38" t="s">
        <v>281</v>
      </c>
    </row>
  </sheetData>
  <hyperlinks>
    <hyperlink ref="C25" r:id="rId1" display="../../../../../:x:/s/Census2020/EavNNc3GDwZKp98ylNI3OpcB8tnt7L6nucdR7xVSwCva5A?e=xejw22" xr:uid="{88F4A747-946E-4941-ABD4-C4560142FE6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8AF3-CC03-41D0-8E56-4E8ECE4E4961}">
  <dimension ref="A1:Z18"/>
  <sheetViews>
    <sheetView workbookViewId="0">
      <pane xSplit="1" ySplit="8" topLeftCell="E9" activePane="bottomRight" state="frozen"/>
      <selection pane="topRight" activeCell="B1" sqref="B1"/>
      <selection pane="bottomLeft" activeCell="A9" sqref="A9"/>
      <selection pane="bottomRight" activeCell="P4" sqref="P4"/>
    </sheetView>
  </sheetViews>
  <sheetFormatPr defaultRowHeight="15" x14ac:dyDescent="0.25"/>
  <cols>
    <col min="1" max="1" width="31.28515625" customWidth="1"/>
    <col min="3" max="3" width="18.7109375" bestFit="1" customWidth="1"/>
    <col min="4" max="4" width="10.42578125" customWidth="1"/>
    <col min="5" max="5" width="28.7109375" customWidth="1"/>
    <col min="6" max="6" width="14.5703125" customWidth="1"/>
    <col min="7" max="7" width="11.5703125" bestFit="1" customWidth="1"/>
    <col min="9" max="9" width="15" customWidth="1"/>
    <col min="10" max="10" width="11.5703125" bestFit="1" customWidth="1"/>
    <col min="18" max="18" width="12" customWidth="1"/>
    <col min="24" max="24" width="16.42578125" customWidth="1"/>
    <col min="26" max="26" width="14.42578125" customWidth="1"/>
  </cols>
  <sheetData>
    <row r="1" spans="1:26" x14ac:dyDescent="0.25">
      <c r="A1" s="26" t="s">
        <v>427</v>
      </c>
    </row>
    <row r="2" spans="1:26" ht="60" x14ac:dyDescent="0.25">
      <c r="A2" s="91" t="s">
        <v>428</v>
      </c>
      <c r="B2" s="91"/>
      <c r="C2" s="92" t="s">
        <v>429</v>
      </c>
      <c r="E2" s="103" t="s">
        <v>462</v>
      </c>
      <c r="F2" s="104" t="s">
        <v>463</v>
      </c>
      <c r="G2" s="103" t="s">
        <v>464</v>
      </c>
      <c r="H2" s="103" t="s">
        <v>465</v>
      </c>
      <c r="I2" s="103" t="s">
        <v>466</v>
      </c>
    </row>
    <row r="3" spans="1:26" x14ac:dyDescent="0.25">
      <c r="A3" s="93" t="s">
        <v>430</v>
      </c>
      <c r="B3" s="94"/>
      <c r="C3" s="94">
        <v>145000</v>
      </c>
      <c r="E3" s="42">
        <f>$C7*E$7</f>
        <v>25.5461592670895</v>
      </c>
      <c r="F3" s="42">
        <f t="shared" ref="F3:I3" si="0">$C7*F$7</f>
        <v>3919.1428571428569</v>
      </c>
      <c r="G3" s="42">
        <f t="shared" si="0"/>
        <v>8274.6666666666661</v>
      </c>
      <c r="H3" s="42">
        <f t="shared" si="0"/>
        <v>6020.2619047619046</v>
      </c>
      <c r="I3" s="42">
        <f t="shared" si="0"/>
        <v>2543.0238095238096</v>
      </c>
    </row>
    <row r="4" spans="1:26" x14ac:dyDescent="0.25">
      <c r="A4" s="93" t="s">
        <v>431</v>
      </c>
      <c r="B4" s="94"/>
      <c r="C4" s="94">
        <v>65000</v>
      </c>
      <c r="E4" s="42">
        <f>$C8*E$7</f>
        <v>11.45172656800564</v>
      </c>
      <c r="F4" s="42">
        <f t="shared" ref="F4:I4" si="1">$C8*F$7</f>
        <v>1756.8571428571429</v>
      </c>
      <c r="G4" s="42">
        <f t="shared" si="1"/>
        <v>3709.3333333333335</v>
      </c>
      <c r="H4" s="42">
        <f t="shared" si="1"/>
        <v>2698.7380952380954</v>
      </c>
      <c r="I4" s="42">
        <f t="shared" si="1"/>
        <v>1139.9761904761906</v>
      </c>
    </row>
    <row r="5" spans="1:26" x14ac:dyDescent="0.25">
      <c r="A5" s="93" t="s">
        <v>210</v>
      </c>
      <c r="B5" s="94"/>
      <c r="C5" s="94">
        <f>SUM(C3:C4)</f>
        <v>210000</v>
      </c>
      <c r="E5" s="42">
        <f>SUM(E3:E4)</f>
        <v>36.99788583509514</v>
      </c>
      <c r="F5" s="42">
        <f t="shared" ref="F5:I5" si="2">SUM(F3:F4)</f>
        <v>5676</v>
      </c>
      <c r="G5" s="42">
        <f t="shared" si="2"/>
        <v>11984</v>
      </c>
      <c r="H5" s="42">
        <f t="shared" si="2"/>
        <v>8719</v>
      </c>
      <c r="I5" s="42">
        <f t="shared" si="2"/>
        <v>3683</v>
      </c>
    </row>
    <row r="6" spans="1:26" s="110" customFormat="1" x14ac:dyDescent="0.25">
      <c r="A6"/>
      <c r="B6"/>
      <c r="C6" t="s">
        <v>432</v>
      </c>
      <c r="D6" s="108" t="s">
        <v>408</v>
      </c>
      <c r="E6" s="109">
        <f>E5-E7</f>
        <v>0</v>
      </c>
      <c r="F6" s="109">
        <f t="shared" ref="F6:I6" si="3">F5-F7</f>
        <v>0</v>
      </c>
      <c r="G6" s="109">
        <f t="shared" si="3"/>
        <v>0</v>
      </c>
      <c r="H6" s="109">
        <f t="shared" si="3"/>
        <v>0</v>
      </c>
      <c r="I6" s="109">
        <f t="shared" si="3"/>
        <v>0</v>
      </c>
      <c r="J6" s="108"/>
    </row>
    <row r="7" spans="1:26" x14ac:dyDescent="0.25">
      <c r="C7" s="95">
        <f>C3/SUM($C$3:$C$4)</f>
        <v>0.69047619047619047</v>
      </c>
      <c r="E7" s="105">
        <v>36.99788583509514</v>
      </c>
      <c r="F7" s="106">
        <v>5676</v>
      </c>
      <c r="G7" s="107">
        <v>11984</v>
      </c>
      <c r="H7" s="107">
        <v>8719</v>
      </c>
      <c r="I7" s="107">
        <v>3683</v>
      </c>
    </row>
    <row r="8" spans="1:26" x14ac:dyDescent="0.25">
      <c r="C8" s="95">
        <f>C4/SUM($C$3:$C$4)</f>
        <v>0.30952380952380953</v>
      </c>
    </row>
    <row r="9" spans="1:26" ht="45" x14ac:dyDescent="0.25">
      <c r="A9" s="81" t="s">
        <v>453</v>
      </c>
    </row>
    <row r="10" spans="1:26" ht="97.5" customHeight="1" x14ac:dyDescent="0.25">
      <c r="A10" s="16" t="s">
        <v>63</v>
      </c>
      <c r="B10" s="17" t="s">
        <v>64</v>
      </c>
      <c r="C10" s="96" t="s">
        <v>433</v>
      </c>
      <c r="D10" s="97" t="s">
        <v>434</v>
      </c>
      <c r="E10" s="97" t="s">
        <v>435</v>
      </c>
      <c r="F10" s="96" t="s">
        <v>436</v>
      </c>
      <c r="G10" s="97" t="s">
        <v>437</v>
      </c>
      <c r="H10" s="97" t="s">
        <v>438</v>
      </c>
      <c r="I10" s="97" t="s">
        <v>439</v>
      </c>
      <c r="J10" s="97" t="s">
        <v>440</v>
      </c>
      <c r="K10" s="97" t="s">
        <v>441</v>
      </c>
      <c r="L10" s="97" t="s">
        <v>442</v>
      </c>
      <c r="M10" s="97" t="s">
        <v>443</v>
      </c>
      <c r="N10" s="96" t="s">
        <v>444</v>
      </c>
      <c r="O10" s="97" t="s">
        <v>445</v>
      </c>
      <c r="P10" s="97" t="s">
        <v>446</v>
      </c>
      <c r="Q10" s="97" t="s">
        <v>447</v>
      </c>
      <c r="R10" s="98" t="s">
        <v>448</v>
      </c>
      <c r="S10" s="98" t="s">
        <v>449</v>
      </c>
      <c r="T10" s="98" t="s">
        <v>450</v>
      </c>
      <c r="U10" s="99" t="s">
        <v>451</v>
      </c>
      <c r="X10" s="97" t="s">
        <v>452</v>
      </c>
      <c r="Z10" t="s">
        <v>461</v>
      </c>
    </row>
    <row r="11" spans="1:26" x14ac:dyDescent="0.25">
      <c r="A11" s="18" t="s">
        <v>81</v>
      </c>
      <c r="B11" t="s">
        <v>82</v>
      </c>
      <c r="C11" s="100">
        <v>40648206.805533424</v>
      </c>
      <c r="D11" s="100">
        <v>3780148.2458143458</v>
      </c>
      <c r="E11" s="100">
        <v>148312.88012263583</v>
      </c>
      <c r="F11" s="100">
        <v>25.487659889610704</v>
      </c>
      <c r="G11" s="100">
        <v>839662.89193046652</v>
      </c>
      <c r="H11" s="100">
        <v>754122.59623730648</v>
      </c>
      <c r="I11" s="100">
        <v>278881.56347190728</v>
      </c>
      <c r="J11" s="101">
        <v>25705811.474360675</v>
      </c>
      <c r="K11" s="101">
        <v>3727571.12382427</v>
      </c>
      <c r="L11" s="101">
        <v>1066.7288477577508</v>
      </c>
      <c r="M11" s="101">
        <v>3494.3942236675912</v>
      </c>
      <c r="N11" s="101">
        <v>859155.29720309353</v>
      </c>
      <c r="O11" s="101">
        <v>550587.33886785829</v>
      </c>
      <c r="P11" s="101">
        <v>254987.19189253333</v>
      </c>
      <c r="Q11" s="1">
        <v>45739583.01383356</v>
      </c>
      <c r="R11" s="1">
        <v>36868058.559719078</v>
      </c>
      <c r="S11" s="1">
        <v>155779</v>
      </c>
      <c r="T11" s="1">
        <v>260.93508627949484</v>
      </c>
      <c r="U11" s="102">
        <v>13025603003.40164</v>
      </c>
      <c r="X11" s="1">
        <v>3854483.900678148</v>
      </c>
      <c r="Z11" s="1">
        <f>C11-SUM(R11,D11)</f>
        <v>0</v>
      </c>
    </row>
    <row r="12" spans="1:26" x14ac:dyDescent="0.25">
      <c r="A12" s="18" t="s">
        <v>69</v>
      </c>
      <c r="B12" t="s">
        <v>70</v>
      </c>
      <c r="C12" s="100">
        <v>3061371.7127126125</v>
      </c>
      <c r="D12" s="100">
        <v>381181.77209088719</v>
      </c>
      <c r="E12" s="100">
        <v>109171.71865372238</v>
      </c>
      <c r="F12" s="100">
        <v>3.4915798412951906</v>
      </c>
      <c r="G12" s="100">
        <v>61803.554910418927</v>
      </c>
      <c r="H12" s="100">
        <v>90722.780933909235</v>
      </c>
      <c r="I12" s="100">
        <v>31753.221004293184</v>
      </c>
      <c r="J12" s="101">
        <v>2317353</v>
      </c>
      <c r="K12" s="101">
        <v>56173.010446676621</v>
      </c>
      <c r="L12" s="101">
        <v>23.743196463549957</v>
      </c>
      <c r="M12" s="101">
        <v>2365.8571217616891</v>
      </c>
      <c r="N12" s="101">
        <v>12298.974904579163</v>
      </c>
      <c r="O12" s="101">
        <v>12567.679036333795</v>
      </c>
      <c r="P12" s="101">
        <v>11608.098868436282</v>
      </c>
      <c r="Q12" s="1">
        <v>3602602.7817815309</v>
      </c>
      <c r="R12" s="1">
        <f t="shared" ref="R12" si="4">C12-D12</f>
        <v>2680189.9406217253</v>
      </c>
      <c r="S12" s="1">
        <v>109781</v>
      </c>
      <c r="T12" s="1">
        <f t="shared" ref="T12" si="5">C12/S12</f>
        <v>27.886170764636983</v>
      </c>
      <c r="U12" s="102">
        <v>132897316.81606364</v>
      </c>
      <c r="X12" s="1">
        <v>522462.12636569614</v>
      </c>
      <c r="Z12" s="1">
        <f>C12-SUM(R12,D12)</f>
        <v>0</v>
      </c>
    </row>
    <row r="15" spans="1:26" ht="46.5" customHeight="1" x14ac:dyDescent="0.25">
      <c r="A15" s="81" t="s">
        <v>454</v>
      </c>
      <c r="B15" t="s">
        <v>455</v>
      </c>
      <c r="C15" t="s">
        <v>456</v>
      </c>
      <c r="D15" t="s">
        <v>457</v>
      </c>
      <c r="E15" t="s">
        <v>457</v>
      </c>
      <c r="F15" t="s">
        <v>458</v>
      </c>
      <c r="G15" t="s">
        <v>459</v>
      </c>
      <c r="H15" t="s">
        <v>459</v>
      </c>
      <c r="I15" t="s">
        <v>459</v>
      </c>
      <c r="J15" t="s">
        <v>252</v>
      </c>
      <c r="K15" t="s">
        <v>456</v>
      </c>
      <c r="L15" t="s">
        <v>456</v>
      </c>
      <c r="M15" t="s">
        <v>456</v>
      </c>
      <c r="N15" t="s">
        <v>456</v>
      </c>
      <c r="O15" t="s">
        <v>456</v>
      </c>
      <c r="P15" t="s">
        <v>456</v>
      </c>
      <c r="Q15" t="s">
        <v>456</v>
      </c>
      <c r="R15" t="s">
        <v>460</v>
      </c>
      <c r="S15" t="s">
        <v>456</v>
      </c>
      <c r="T15" t="s">
        <v>456</v>
      </c>
      <c r="X15" t="s">
        <v>467</v>
      </c>
    </row>
    <row r="16" spans="1:26" ht="117" customHeight="1" x14ac:dyDescent="0.25">
      <c r="A16" s="16" t="s">
        <v>63</v>
      </c>
      <c r="B16" s="17" t="s">
        <v>64</v>
      </c>
      <c r="C16" s="96" t="s">
        <v>433</v>
      </c>
      <c r="D16" s="97" t="s">
        <v>434</v>
      </c>
      <c r="E16" s="97" t="s">
        <v>435</v>
      </c>
      <c r="F16" s="96" t="s">
        <v>436</v>
      </c>
      <c r="G16" s="97" t="s">
        <v>437</v>
      </c>
      <c r="H16" s="97" t="s">
        <v>438</v>
      </c>
      <c r="I16" s="97" t="s">
        <v>439</v>
      </c>
      <c r="J16" s="97" t="s">
        <v>440</v>
      </c>
      <c r="K16" s="97" t="s">
        <v>441</v>
      </c>
      <c r="L16" s="97" t="s">
        <v>442</v>
      </c>
      <c r="M16" s="97" t="s">
        <v>443</v>
      </c>
      <c r="N16" s="96" t="s">
        <v>444</v>
      </c>
      <c r="O16" s="97" t="s">
        <v>445</v>
      </c>
      <c r="P16" s="97" t="s">
        <v>446</v>
      </c>
      <c r="Q16" s="97" t="s">
        <v>447</v>
      </c>
      <c r="R16" s="98" t="s">
        <v>448</v>
      </c>
      <c r="S16" s="98" t="s">
        <v>449</v>
      </c>
      <c r="T16" s="98" t="s">
        <v>450</v>
      </c>
      <c r="U16" s="99" t="s">
        <v>451</v>
      </c>
      <c r="X16" s="97" t="s">
        <v>452</v>
      </c>
      <c r="Z16" t="s">
        <v>461</v>
      </c>
    </row>
    <row r="17" spans="1:26" x14ac:dyDescent="0.25">
      <c r="A17" s="18" t="s">
        <v>81</v>
      </c>
      <c r="B17" t="s">
        <v>82</v>
      </c>
      <c r="C17" s="1">
        <f>C11</f>
        <v>40648206.805533424</v>
      </c>
      <c r="D17" s="1">
        <f>D11-C3</f>
        <v>3635148.2458143458</v>
      </c>
      <c r="E17" s="111">
        <f>E11-E3</f>
        <v>148287.33396336876</v>
      </c>
      <c r="F17">
        <f>D17/E17</f>
        <v>24.514219445824903</v>
      </c>
      <c r="G17" s="111">
        <f>G11-G3</f>
        <v>831388.22526379989</v>
      </c>
      <c r="H17" s="111">
        <f t="shared" ref="H17:I17" si="6">H11-H3</f>
        <v>748102.33433254459</v>
      </c>
      <c r="I17" s="111">
        <f t="shared" si="6"/>
        <v>276338.5396623835</v>
      </c>
      <c r="J17" s="1">
        <f>J11</f>
        <v>25705811.474360675</v>
      </c>
      <c r="K17" s="1">
        <f t="shared" ref="K17:P17" si="7">K11</f>
        <v>3727571.12382427</v>
      </c>
      <c r="L17" s="1">
        <f t="shared" si="7"/>
        <v>1066.7288477577508</v>
      </c>
      <c r="M17" s="1">
        <f t="shared" si="7"/>
        <v>3494.3942236675912</v>
      </c>
      <c r="N17" s="1">
        <f t="shared" si="7"/>
        <v>859155.29720309353</v>
      </c>
      <c r="O17" s="1">
        <f t="shared" si="7"/>
        <v>550587.33886785829</v>
      </c>
      <c r="P17" s="1">
        <f t="shared" si="7"/>
        <v>254987.19189253333</v>
      </c>
      <c r="Q17" s="1">
        <f>Q11</f>
        <v>45739583.01383356</v>
      </c>
      <c r="R17" s="1">
        <f>R11+C3</f>
        <v>37013058.559719078</v>
      </c>
      <c r="S17" s="1">
        <f>S11</f>
        <v>155779</v>
      </c>
      <c r="T17" s="1">
        <f>T11</f>
        <v>260.93508627949484</v>
      </c>
      <c r="X17">
        <v>3540552.1019189642</v>
      </c>
      <c r="Z17" s="1">
        <f>C17-SUM(R17,D17)</f>
        <v>0</v>
      </c>
    </row>
    <row r="18" spans="1:26" x14ac:dyDescent="0.25">
      <c r="A18" s="18" t="s">
        <v>69</v>
      </c>
      <c r="B18" t="s">
        <v>70</v>
      </c>
      <c r="C18" s="1">
        <f>C12</f>
        <v>3061371.7127126125</v>
      </c>
      <c r="D18" s="1">
        <f>D12-C4</f>
        <v>316181.77209088719</v>
      </c>
      <c r="E18" s="111">
        <f>E12-E4</f>
        <v>109160.26692715437</v>
      </c>
      <c r="F18">
        <f>D18/E18</f>
        <v>2.8964913790645448</v>
      </c>
      <c r="G18" s="111">
        <f>G12-G4</f>
        <v>58094.221577085591</v>
      </c>
      <c r="H18" s="111">
        <f t="shared" ref="H18:I18" si="8">H12-H4</f>
        <v>88024.042838671143</v>
      </c>
      <c r="I18" s="111">
        <f t="shared" si="8"/>
        <v>30613.244813816993</v>
      </c>
      <c r="J18" s="1">
        <f>J12</f>
        <v>2317353</v>
      </c>
      <c r="K18" s="1">
        <f t="shared" ref="K18:P18" si="9">K12</f>
        <v>56173.010446676621</v>
      </c>
      <c r="L18" s="1">
        <f t="shared" si="9"/>
        <v>23.743196463549957</v>
      </c>
      <c r="M18" s="1">
        <f t="shared" si="9"/>
        <v>2365.8571217616891</v>
      </c>
      <c r="N18" s="1">
        <f t="shared" si="9"/>
        <v>12298.974904579163</v>
      </c>
      <c r="O18" s="1">
        <f t="shared" si="9"/>
        <v>12567.679036333795</v>
      </c>
      <c r="P18" s="1">
        <f t="shared" si="9"/>
        <v>11608.098868436282</v>
      </c>
      <c r="Q18" s="1">
        <f>Q12</f>
        <v>3602602.7817815309</v>
      </c>
      <c r="R18" s="1">
        <f>R12+C4</f>
        <v>2745189.9406217253</v>
      </c>
      <c r="S18" s="1">
        <f>S12</f>
        <v>109781</v>
      </c>
      <c r="T18" s="1">
        <f>T12</f>
        <v>27.886170764636983</v>
      </c>
      <c r="X18">
        <v>375288.43991461478</v>
      </c>
      <c r="Z18" s="1">
        <f>C18-SUM(R18,D18)</f>
        <v>0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5179E463E96D498417B5AF9B43A5D9" ma:contentTypeVersion="11" ma:contentTypeDescription="Create a new document." ma:contentTypeScope="" ma:versionID="6a4ab32b8a5f1505bd7fa314417dd677">
  <xsd:schema xmlns:xsd="http://www.w3.org/2001/XMLSchema" xmlns:xs="http://www.w3.org/2001/XMLSchema" xmlns:p="http://schemas.microsoft.com/office/2006/metadata/properties" xmlns:ns2="8fd994c7-d7b9-4f2a-bc36-d5b341396dee" xmlns:ns3="47b18aaa-31a5-4510-8354-b217cb600346" targetNamespace="http://schemas.microsoft.com/office/2006/metadata/properties" ma:root="true" ma:fieldsID="ccaa139259da986db876408090e2c665" ns2:_="" ns3:_="">
    <xsd:import namespace="8fd994c7-d7b9-4f2a-bc36-d5b341396dee"/>
    <xsd:import namespace="47b18aaa-31a5-4510-8354-b217cb6003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994c7-d7b9-4f2a-bc36-d5b341396d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18aaa-31a5-4510-8354-b217cb6003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08EF3D-DE1C-4C92-A498-D81AD4A76A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D5A298-9508-4ACE-81AE-E561C3DB3D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E8D5C1-ECD7-41CD-A16E-EE22D1D04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d994c7-d7b9-4f2a-bc36-d5b341396dee"/>
    <ds:schemaRef ds:uri="47b18aaa-31a5-4510-8354-b217cb6003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New UZAs</vt:lpstr>
      <vt:lpstr>New UZA Analyses</vt:lpstr>
      <vt:lpstr>Average Calc New UZAs</vt:lpstr>
      <vt:lpstr>Removed UZAs (now rural)</vt:lpstr>
      <vt:lpstr>Texas UZAs Detail</vt:lpstr>
      <vt:lpstr>States States</vt:lpstr>
      <vt:lpstr>APTL Reference</vt:lpstr>
      <vt:lpstr>Lake Tahoe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Walk, Michael</dc:creator>
  <cp:lastModifiedBy>Walk, Michael</cp:lastModifiedBy>
  <dcterms:created xsi:type="dcterms:W3CDTF">2020-05-13T21:26:09Z</dcterms:created>
  <dcterms:modified xsi:type="dcterms:W3CDTF">2021-06-29T02:09:11Z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0x0101009F5179E463E96D498417B5AF9B43A5D9</vt:lpwstr>
  </property>
</Properties>
</file>